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9690" windowHeight="11205" tabRatio="669" activeTab="0"/>
  </bookViews>
  <sheets>
    <sheet name="ReadMe" sheetId="1" r:id="rId1"/>
    <sheet name="CharacterProperties" sheetId="2" r:id="rId2"/>
    <sheet name="SpellbooksOwned" sheetId="3" r:id="rId3"/>
    <sheet name="SpellProperties" sheetId="4" r:id="rId4"/>
    <sheet name="SpellsByType" sheetId="5" r:id="rId5"/>
    <sheet name="SpellFailure" sheetId="6" r:id="rId6"/>
    <sheet name="Enchantments" sheetId="7" r:id="rId7"/>
    <sheet name="TODO" sheetId="8" r:id="rId8"/>
  </sheets>
  <definedNames>
    <definedName name="CharLevel">'CharacterProperties'!$B$20</definedName>
    <definedName name="Dexterity">'CharacterProperties'!#REF!</definedName>
    <definedName name="Intelligence">'CharacterProperties'!$B$21</definedName>
    <definedName name="RingOfWizardry">'CharacterProperties'!$B$22</definedName>
    <definedName name="RobeOfTheArchmagi">'CharacterProperties'!$B$24</definedName>
    <definedName name="SPELL_EVAPORATE" localSheetId="4">'SpellsByType'!$B$129</definedName>
    <definedName name="Spellcasting">'CharacterProperties'!$B$3</definedName>
    <definedName name="StaffOfWizardry">'CharacterProperties'!$B$23</definedName>
    <definedName name="Strength">'CharacterProperties'!#REF!</definedName>
    <definedName name="TblFailureCategories">'SpellFailure'!$A$41:$B$52</definedName>
    <definedName name="TblOppSchools">'CharacterProperties'!$A$3:$C$17</definedName>
    <definedName name="TblSkillItems">'CharacterProperties'!$A$27:$B$41</definedName>
    <definedName name="TblSkillLevels">'CharacterProperties'!$A$3:$B$17</definedName>
    <definedName name="TblSpellDifficulty">'SpellFailure'!$B$19:$C$27</definedName>
    <definedName name="TblSpellFailRemap">'SpellFailure'!$F$56:$G$337</definedName>
  </definedNames>
  <calcPr fullCalcOnLoad="1"/>
</workbook>
</file>

<file path=xl/sharedStrings.xml><?xml version="1.0" encoding="utf-8"?>
<sst xmlns="http://schemas.openxmlformats.org/spreadsheetml/2006/main" count="2826" uniqueCount="1155">
  <si>
    <t xml:space="preserve">        chance2 = 24;</t>
  </si>
  <si>
    <t xml:space="preserve">    if (chance &lt; -18)</t>
  </si>
  <si>
    <t xml:space="preserve">        chance2 = 22;</t>
  </si>
  <si>
    <t xml:space="preserve">    if (chance &lt; -24)</t>
  </si>
  <si>
    <t xml:space="preserve">        chance2 = 20;</t>
  </si>
  <si>
    <t xml:space="preserve">    if (chance &lt; -30)</t>
  </si>
  <si>
    <t xml:space="preserve">        chance2 = 18;</t>
  </si>
  <si>
    <t xml:space="preserve">    if (chance &lt; -38)</t>
  </si>
  <si>
    <t xml:space="preserve">        chance2 = 16;</t>
  </si>
  <si>
    <t xml:space="preserve">    if (chance &lt; -46)</t>
  </si>
  <si>
    <t xml:space="preserve">        chance2 = 14;</t>
  </si>
  <si>
    <t xml:space="preserve">    if (chance &lt; -60)</t>
  </si>
  <si>
    <t xml:space="preserve">        chance2 = 12;</t>
  </si>
  <si>
    <t xml:space="preserve">    if (chance &lt; -80)</t>
  </si>
  <si>
    <t xml:space="preserve">        chance2 = 10;</t>
  </si>
  <si>
    <t xml:space="preserve">    if (chance &lt; -100)</t>
  </si>
  <si>
    <t xml:space="preserve">        chance2 = 8;</t>
  </si>
  <si>
    <t xml:space="preserve">    if (chance &lt; -120)</t>
  </si>
  <si>
    <t xml:space="preserve">        chance2 = 6;</t>
  </si>
  <si>
    <t xml:space="preserve">    if (chance &lt; -140)</t>
  </si>
  <si>
    <t xml:space="preserve">        chance2 = 4;</t>
  </si>
  <si>
    <t xml:space="preserve">    if (chance &lt; -160)</t>
  </si>
  <si>
    <t xml:space="preserve">        chance2 = 2;</t>
  </si>
  <si>
    <t xml:space="preserve">    if (chance &lt; -180)</t>
  </si>
  <si>
    <t xml:space="preserve">        chance2 = 0;</t>
  </si>
  <si>
    <t>Spatial Translocations</t>
  </si>
  <si>
    <t>spatial Translocations</t>
  </si>
  <si>
    <t>the Sky</t>
  </si>
  <si>
    <t>the Warp</t>
  </si>
  <si>
    <r>
      <t>* base failure</t>
    </r>
    <r>
      <rPr>
        <sz val="10"/>
        <rFont val="Arial"/>
        <family val="2"/>
      </rPr>
      <t xml:space="preserve"> - intermediate result for failure calculation</t>
    </r>
  </si>
  <si>
    <t>unresistable. Spell power unknown as yet</t>
  </si>
  <si>
    <t>derived data</t>
  </si>
  <si>
    <t>max spell level</t>
  </si>
  <si>
    <t>max memorize levels</t>
  </si>
  <si>
    <t>In the SpellProperties sheet, a rudimentery calculation is made. More details below, but</t>
  </si>
  <si>
    <t>if you want all details, try looking in the source at spl-cast.cc, line 225 and on.</t>
  </si>
  <si>
    <t>The official remapping directly from the source:</t>
  </si>
  <si>
    <t>the Earth</t>
  </si>
  <si>
    <t>Summonings</t>
  </si>
  <si>
    <t>Morphology</t>
  </si>
  <si>
    <t>spells1</t>
  </si>
  <si>
    <t>spells2</t>
  </si>
  <si>
    <t>spells3</t>
  </si>
  <si>
    <t>spells4</t>
  </si>
  <si>
    <t>spells5</t>
  </si>
  <si>
    <t>spells6</t>
  </si>
  <si>
    <t>spells7</t>
  </si>
  <si>
    <t>spells8</t>
  </si>
  <si>
    <t>Abjuration1</t>
  </si>
  <si>
    <t>Abjuration2</t>
  </si>
  <si>
    <t>Cure Poison1</t>
  </si>
  <si>
    <t>Cure Poison2</t>
  </si>
  <si>
    <t>extra magic per ring of power: 9</t>
  </si>
  <si>
    <t>extra magic per staff of power: 13</t>
  </si>
  <si>
    <t>natural limit of magic: 50</t>
  </si>
  <si>
    <t>(if natural limit + item bonuses &gt; 50, then count points above 50 half.)</t>
  </si>
  <si>
    <t>magic points info</t>
  </si>
  <si>
    <t>rarity</t>
  </si>
  <si>
    <t>tome of Destruction</t>
  </si>
  <si>
    <t>sight</t>
  </si>
  <si>
    <t>random destination</t>
  </si>
  <si>
    <t>choose destination</t>
  </si>
  <si>
    <t>Avg. Dur.</t>
  </si>
  <si>
    <t>Avg. Dam.</t>
  </si>
  <si>
    <t>self</t>
  </si>
  <si>
    <t>cures all poison, rot, confusion, slow, disease (and paralysis)</t>
  </si>
  <si>
    <t>resets duration of friendly spell-effects, as if re-cast with the power of 'extension'</t>
  </si>
  <si>
    <t>Stonemail</t>
  </si>
  <si>
    <t>SPELL_STONEMAIL</t>
  </si>
  <si>
    <t>fly = levitation + controlled flight</t>
  </si>
  <si>
    <t>shows all traps within range</t>
  </si>
  <si>
    <t>marks all items on squares within range</t>
  </si>
  <si>
    <t>shows all monsters within range (might disturb spellcasters!)</t>
  </si>
  <si>
    <t>makes wielded normal slicing weapon a vorpal-brand</t>
  </si>
  <si>
    <t>makes wielded normal weapon a flaming-brand</t>
  </si>
  <si>
    <t>makes wielded normal weapon a freezing-brand</t>
  </si>
  <si>
    <t>makes wielded normal weapon a draining-brand</t>
  </si>
  <si>
    <t>makes wielded normal non-blunt weapon a venom-brand</t>
  </si>
  <si>
    <t>Warp Weapon</t>
  </si>
  <si>
    <t>(not available!?)</t>
  </si>
  <si>
    <t>makes wielded normal weapon a distortion-brand</t>
  </si>
  <si>
    <t>restores Str completely</t>
  </si>
  <si>
    <t>restores Dex completely</t>
  </si>
  <si>
    <t>restores Int completely</t>
  </si>
  <si>
    <t>scares 150 HD of undead, unless they resist vs. enchantment</t>
  </si>
  <si>
    <t>damages and scares all undead and demonic monsters near</t>
  </si>
  <si>
    <t>short</t>
  </si>
  <si>
    <t>current poison reduced with misc.</t>
  </si>
  <si>
    <t>poisons all within sight, unless invisible (average 1.5x normal poison strength)</t>
  </si>
  <si>
    <t>places fire cloud in all adjacent squares (moves with you!?)</t>
  </si>
  <si>
    <t>freezes all in sight (incl. you;might break potions; 50% slows cold-blooded monsters)</t>
  </si>
  <si>
    <t>damages self if used vs undead or demon (aroud 30); can't damage more than your current damage; heals half drained</t>
  </si>
  <si>
    <t>50% chance slow cold-blooded</t>
  </si>
  <si>
    <t>chance of friendly depends on skill in chosen material; earth skill &gt; d5; fire &gt; d10; air/water &gt; d15</t>
  </si>
  <si>
    <t>summons 1-5 friendly rats; on higher power you gain small chance of getting grey, green or orange rats</t>
  </si>
  <si>
    <t>until dead</t>
  </si>
  <si>
    <t>chance</t>
  </si>
  <si>
    <t>* base power</t>
  </si>
  <si>
    <t>numbers in &lt;45, -181,…&gt; and on] to [45, 0] (making it harder to cast spells without fail. E.g. 0 gets mapped on 28)</t>
  </si>
  <si>
    <t>summons an angel</t>
  </si>
  <si>
    <t>enchantment type</t>
  </si>
  <si>
    <t>consequence</t>
  </si>
  <si>
    <t>lessen-chance</t>
  </si>
  <si>
    <t>MONSTER ENCHANTMENTS</t>
  </si>
  <si>
    <t>eff. chance</t>
  </si>
  <si>
    <t>Monster hitdice (HD)</t>
  </si>
  <si>
    <t>(HD + 10)/250</t>
  </si>
  <si>
    <t>25/1000</t>
  </si>
  <si>
    <t>Fear</t>
  </si>
  <si>
    <t>If it falls back one level from 1, the enchantment is over.</t>
  </si>
  <si>
    <t>scared</t>
  </si>
  <si>
    <t>slow</t>
  </si>
  <si>
    <t>hasted</t>
  </si>
  <si>
    <t>(HD + 5)/150</t>
  </si>
  <si>
    <t>Confusion</t>
  </si>
  <si>
    <t>(HD + 5)/120</t>
  </si>
  <si>
    <t>confused</t>
  </si>
  <si>
    <t>(can be permanent)</t>
  </si>
  <si>
    <t>invisible</t>
  </si>
  <si>
    <t>125/1000</t>
  </si>
  <si>
    <t>250/1000</t>
  </si>
  <si>
    <t>1/3 chance for 1 damage</t>
  </si>
  <si>
    <t>(from Corona spell)</t>
  </si>
  <si>
    <t>damage: 5 * d(power+1)</t>
  </si>
  <si>
    <t>vulnerable monsters get 2d(power)-1 extra damage</t>
  </si>
  <si>
    <t xml:space="preserve">enchantments have power levels, and each turn there is a consequence, and a chance it falls back one level. </t>
  </si>
  <si>
    <t>damage: 1 + 5 * d(power+1)</t>
  </si>
  <si>
    <t>easier to hit</t>
  </si>
  <si>
    <t>100/1000</t>
  </si>
  <si>
    <t>200/1000</t>
  </si>
  <si>
    <t>damage: 2d4 - 1</t>
  </si>
  <si>
    <t>vulnerable monsters get 2d5-1 extra damage</t>
  </si>
  <si>
    <t>20/1000</t>
  </si>
  <si>
    <t>10/1000</t>
  </si>
  <si>
    <t>when ended, monster disappears</t>
  </si>
  <si>
    <t>Charm</t>
  </si>
  <si>
    <t>monster is friendly</t>
  </si>
  <si>
    <t>(HD + 10)/500</t>
  </si>
  <si>
    <t>50/1000</t>
  </si>
  <si>
    <t>beam-&gt;explosion (diameter 3)</t>
  </si>
  <si>
    <t>explosion  (diameter 5)</t>
  </si>
  <si>
    <t>explosion (diameter 5 or 7); half resistable</t>
  </si>
  <si>
    <t>explosion (diameter 5 or 7)</t>
  </si>
  <si>
    <t>explosion; 0 dam for immune; 1/2 dam for resistant; 1.2 for vulnerable</t>
  </si>
  <si>
    <t>(from staff of summoning)</t>
  </si>
  <si>
    <t>SPELL_SWARM</t>
  </si>
  <si>
    <t>SPELL_WARP_BRAND</t>
  </si>
  <si>
    <t>summons 2-8 friendly tentacled monstrosities/large abonimations; costs 1 Int</t>
  </si>
  <si>
    <t>can be memorized if already 21 spells; chance of forgetfulness on failure (depends on spellcasting and spell level)</t>
  </si>
  <si>
    <t>always</t>
  </si>
  <si>
    <t>unresistable; about half the target's AC is subtracted from the damage</t>
  </si>
  <si>
    <t>wield skeleton; add up to 20 damage from the weight of the skeleton; unresisted</t>
  </si>
  <si>
    <t>exchange about 1hp for 1mp (won't die from this); or if food or corpse chunk wielded: regain 7-13 mp</t>
  </si>
  <si>
    <t>creates up to 8 friendly simulacri from wielded corpse/chunks</t>
  </si>
  <si>
    <t>final failure = 3d(calculated failure)/3  (this makes the extremes less likely to happen)</t>
  </si>
  <si>
    <t>remapped chance</t>
  </si>
  <si>
    <t>animates your wielded weapon; cursed weapons get hostile</t>
  </si>
  <si>
    <t>some sites interfere with your control; control mostly within 1 square, 1 in 4 2 squares</t>
  </si>
  <si>
    <t>permanent</t>
  </si>
  <si>
    <t>creates walls around you. Items, traps etc. get destroyed; monsters prevent wall creation there.</t>
  </si>
  <si>
    <t>makes wielded ammo poisonous (not stones or rocks)</t>
  </si>
  <si>
    <t>recalls all friendly monsters to next to you, as long as there is room</t>
  </si>
  <si>
    <t>hurts self if in statue or ice form or blade hands; can break walls etc, will break potions; many specific monsters get more or less damage</t>
  </si>
  <si>
    <t>raises EV by 8</t>
  </si>
  <si>
    <t>reveals secret doors IN SIGHT</t>
  </si>
  <si>
    <t>summons 4-16 butterflies</t>
  </si>
  <si>
    <t>creates 3-8 balls that will explode for 3d20 damage</t>
  </si>
  <si>
    <t>Sleep wary</t>
  </si>
  <si>
    <t xml:space="preserve">monster on guard vs. sleep </t>
  </si>
  <si>
    <t>burns poison from self, wielded weapon, items, clouds, monsters. Damage listed is for poisonous monsters. Poisoned monsters get similar damage</t>
  </si>
  <si>
    <t>creates miasmic clouds from corpses (see damage listed); rot undead and living (see enchantment rot)</t>
  </si>
  <si>
    <t>pass in a straight line from adjacent square through rock wall. The avg. dur. is the delay.</t>
  </si>
  <si>
    <t>as throwing</t>
  </si>
  <si>
    <t>creates cloud (diameter 3) at target. Type depends on potion used.</t>
  </si>
  <si>
    <t>creates negative potion from any corpse below your feet. Potion type dependent on monster type &amp; your power. (use potions with evaporate)</t>
  </si>
  <si>
    <t>effects vary greatly on target. Explosion monst often diameter 3.</t>
  </si>
  <si>
    <t>SPELL_TWIST</t>
  </si>
  <si>
    <t>monster can save vs. enchantment</t>
  </si>
  <si>
    <t>does not combine with some transformations and other armour spells</t>
  </si>
  <si>
    <t>regenerates at least 1hp per turn + (max hp)/300 (fractions saved until next round)</t>
  </si>
  <si>
    <t>Last changes: 2003-06-25</t>
  </si>
  <si>
    <t>This sheet is created by Camille van den Berg; any reactions, additions etc. you can mail to camilleb@xs4all.nl. It is available for download at http://www.xs4all.nl/~camilleb/Crawl/</t>
  </si>
  <si>
    <t>Poison1</t>
  </si>
  <si>
    <t>Poison2</t>
  </si>
  <si>
    <t>Poison3</t>
  </si>
  <si>
    <t>Poison4</t>
  </si>
  <si>
    <t>Rot1</t>
  </si>
  <si>
    <t>Rot2</t>
  </si>
  <si>
    <t>Rot3</t>
  </si>
  <si>
    <t>Rot4</t>
  </si>
  <si>
    <t>Backlight2</t>
  </si>
  <si>
    <t>Backlight3</t>
  </si>
  <si>
    <t>Backlight4</t>
  </si>
  <si>
    <t>Sticky Flame1</t>
  </si>
  <si>
    <t>Sticky Flame2</t>
  </si>
  <si>
    <t>Sticky Flame3</t>
  </si>
  <si>
    <t>Sticky Flame4</t>
  </si>
  <si>
    <t>Summoned/Animated5</t>
  </si>
  <si>
    <t>Summoned/Animated6</t>
  </si>
  <si>
    <t>Summoned/Animated1</t>
  </si>
  <si>
    <t>Summoned/Animated2</t>
  </si>
  <si>
    <t>Summoned/Animated3</t>
  </si>
  <si>
    <t>Summoned/Animated4</t>
  </si>
  <si>
    <t>Backlight1</t>
  </si>
  <si>
    <t>ENCH_SLOW</t>
  </si>
  <si>
    <t>ENCH_HASTE</t>
  </si>
  <si>
    <t>Failure rank</t>
  </si>
  <si>
    <t>Ranking</t>
  </si>
  <si>
    <t>Spell failure</t>
  </si>
  <si>
    <t>Perfect</t>
  </si>
  <si>
    <t>&lt;0</t>
  </si>
  <si>
    <t>Excellent</t>
  </si>
  <si>
    <t>1-10</t>
  </si>
  <si>
    <t>Great</t>
  </si>
  <si>
    <t>11-20</t>
  </si>
  <si>
    <t>Very Good</t>
  </si>
  <si>
    <t>21-30</t>
  </si>
  <si>
    <t>Good</t>
  </si>
  <si>
    <t>31-40</t>
  </si>
  <si>
    <t>Fair</t>
  </si>
  <si>
    <t>41-50</t>
  </si>
  <si>
    <t>Poor</t>
  </si>
  <si>
    <t>51-60</t>
  </si>
  <si>
    <t>Very Poor</t>
  </si>
  <si>
    <t>61-70</t>
  </si>
  <si>
    <t>Bad</t>
  </si>
  <si>
    <t>71-80</t>
  </si>
  <si>
    <t>Cruddy</t>
  </si>
  <si>
    <t>81-90</t>
  </si>
  <si>
    <t>Terrible</t>
  </si>
  <si>
    <t>91-100</t>
  </si>
  <si>
    <t>Useless</t>
  </si>
  <si>
    <t>&gt;100</t>
  </si>
  <si>
    <t>FailCat</t>
  </si>
  <si>
    <r>
      <t>* rough failure</t>
    </r>
    <r>
      <rPr>
        <sz val="10"/>
        <rFont val="Arial"/>
        <family val="2"/>
      </rPr>
      <t xml:space="preserve"> - a rough estimation of the failure chance of the spell (cast and learn). This calculation assumes you're not wearing much armour, wielding a slow weapon or using a shield. For details see sheet SpellFailure.</t>
    </r>
  </si>
  <si>
    <r>
      <t>Spell failure</t>
    </r>
    <r>
      <rPr>
        <sz val="10"/>
        <rFont val="Arial"/>
        <family val="2"/>
      </rPr>
      <t xml:space="preserve"> - failure chance of the spell</t>
    </r>
  </si>
  <si>
    <t>Spell Failure</t>
  </si>
  <si>
    <t>Create Noise</t>
  </si>
  <si>
    <t>Swap</t>
  </si>
  <si>
    <t>Summon Swarm</t>
  </si>
  <si>
    <t>Crush</t>
  </si>
  <si>
    <t>Debugging Ray</t>
  </si>
  <si>
    <t>(guess what)</t>
  </si>
  <si>
    <t>Arc</t>
  </si>
  <si>
    <t>Summon Dragon</t>
  </si>
  <si>
    <t>Detect Magic</t>
  </si>
  <si>
    <t>Bend</t>
  </si>
  <si>
    <t>Glamour</t>
  </si>
  <si>
    <t>Eringya's Surprising Bouquet</t>
  </si>
  <si>
    <t>Air Walk</t>
  </si>
  <si>
    <t>Rotting</t>
  </si>
  <si>
    <t>Shuggoth Seed</t>
  </si>
  <si>
    <t>Semi-Controlled Blink</t>
  </si>
  <si>
    <t>Far Strike</t>
  </si>
  <si>
    <t>SPELL_BEND</t>
  </si>
  <si>
    <t>SPELL_AIR_WALK</t>
  </si>
  <si>
    <t>SPELL_SHUGGOTH_SEED</t>
  </si>
  <si>
    <t>SPELL_ROTTING</t>
  </si>
  <si>
    <t>SPELL_SEMI_CONTROLLED_BLINK</t>
  </si>
  <si>
    <t>SPELL_FAR_STRIKE</t>
  </si>
  <si>
    <t>SPELL_GLAMOUR</t>
  </si>
  <si>
    <t>SPELL_ERINGYAS_SURPRISING_BOUQUET</t>
  </si>
  <si>
    <t>SPELL_DETECT_MAGIC</t>
  </si>
  <si>
    <t>SPELL_SUMMON_DRAGON</t>
  </si>
  <si>
    <t>SPELL_ARC</t>
  </si>
  <si>
    <t>SPELL_CRUSH</t>
  </si>
  <si>
    <t>SPELL_SWAP</t>
  </si>
  <si>
    <t>SPELL_CREATE_NOISE</t>
  </si>
  <si>
    <t>SPELL_DEBUGGING_RAY</t>
  </si>
  <si>
    <t>NOT NORMALLY AVAILABLE</t>
  </si>
  <si>
    <t>manual of &lt;skill&gt;</t>
  </si>
  <si>
    <t>* check # spellbools</t>
  </si>
  <si>
    <t>* spells1</t>
  </si>
  <si>
    <t>* spells2</t>
  </si>
  <si>
    <t>* spells3</t>
  </si>
  <si>
    <t>* spells4</t>
  </si>
  <si>
    <t>* spells5</t>
  </si>
  <si>
    <t>* spells6</t>
  </si>
  <si>
    <t>* spells7</t>
  </si>
  <si>
    <t>* spells8</t>
  </si>
  <si>
    <t>* Occurrences</t>
  </si>
  <si>
    <t>* Should be</t>
  </si>
  <si>
    <t>* Check</t>
  </si>
  <si>
    <r>
      <t xml:space="preserve">The sheet </t>
    </r>
    <r>
      <rPr>
        <b/>
        <sz val="10"/>
        <rFont val="Arial"/>
        <family val="2"/>
      </rPr>
      <t>SpellsByType</t>
    </r>
    <r>
      <rPr>
        <sz val="10"/>
        <rFont val="Arial"/>
        <family val="2"/>
      </rPr>
      <t xml:space="preserve"> lists the spells per magic skill, to easily see all spells dependent on one magic skill. You can't exactly do that by sortig the SpellProperties on type1, because you don't get the second and third type also, then.</t>
    </r>
  </si>
  <si>
    <r>
      <t xml:space="preserve">The sheet </t>
    </r>
    <r>
      <rPr>
        <b/>
        <sz val="10"/>
        <rFont val="Arial"/>
        <family val="2"/>
      </rPr>
      <t>SpellFailure</t>
    </r>
    <r>
      <rPr>
        <sz val="10"/>
        <rFont val="Arial"/>
        <family val="0"/>
      </rPr>
      <t xml:space="preserve"> explains how spell failure is determined in the game. Since the SpellProperties sheet already calculates a basic spell failure, you shouldn't need this sheet, unless you want to check what penalties heavy armour, shields and weapons have on failure chance.</t>
    </r>
  </si>
  <si>
    <r>
      <t>* base power</t>
    </r>
    <r>
      <rPr>
        <sz val="10"/>
        <rFont val="Arial"/>
        <family val="2"/>
      </rPr>
      <t xml:space="preserve"> - the basic result of the power calculation.</t>
    </r>
  </si>
  <si>
    <r>
      <t>* Power</t>
    </r>
    <r>
      <rPr>
        <sz val="10"/>
        <rFont val="Arial"/>
        <family val="2"/>
      </rPr>
      <t xml:space="preserve"> - the calculated power for that spell (higher base power values are 'stepped down')</t>
    </r>
  </si>
  <si>
    <r>
      <t>* check # spellbooks</t>
    </r>
    <r>
      <rPr>
        <sz val="10"/>
        <rFont val="Arial"/>
        <family val="2"/>
      </rPr>
      <t xml:space="preserve"> - shows in how many spellbooks the spell is listed (taken from the SpellbooksOwned sheet as cross-reference).</t>
    </r>
  </si>
  <si>
    <t>* rough failure</t>
  </si>
  <si>
    <r>
      <t xml:space="preserve">The sheet </t>
    </r>
    <r>
      <rPr>
        <b/>
        <sz val="10"/>
        <rFont val="Arial"/>
        <family val="2"/>
      </rPr>
      <t>Enchantments</t>
    </r>
    <r>
      <rPr>
        <sz val="10"/>
        <rFont val="Arial"/>
        <family val="0"/>
      </rPr>
      <t xml:space="preserve"> lists the monster enchantments, and their durations. Since these are not so straightforward, the spellProperties sheet only lists the expected category, and this sheet shows how long it will take for an enchantment of that category to expire (in average). Some chances are monster HitDie dependent, and you can fill in values to see how the chances change.</t>
    </r>
  </si>
  <si>
    <t>N.B. this sheet is not very up to date! (based on pretty outdated AADC spoiler)</t>
  </si>
  <si>
    <t>* Power</t>
  </si>
  <si>
    <t>* Power Cap</t>
  </si>
  <si>
    <t xml:space="preserve">- sheet SpellsByType should be re-generated from SpellProperties. </t>
  </si>
  <si>
    <t>If not easy to do automatic, we can use copy-paste 3x on SpellProperties sorted on type1, type2 and type3, respectively</t>
  </si>
  <si>
    <t>TODO list</t>
  </si>
  <si>
    <t>ENCH_FEAR</t>
  </si>
  <si>
    <t>ENCH_CONFUSION</t>
  </si>
  <si>
    <t>ENCH_INVIS</t>
  </si>
  <si>
    <r>
      <t>* code Enchantment</t>
    </r>
    <r>
      <rPr>
        <sz val="10"/>
        <rFont val="Arial"/>
        <family val="2"/>
      </rPr>
      <t xml:space="preserve"> - the define in the source code for the enchantment the spell hands out. Note that in the code Roman numerals are used for the levels. For ease of reference these are replaced by normal numbers here.</t>
    </r>
  </si>
  <si>
    <t>* Opposite school</t>
  </si>
  <si>
    <t>* opp item1</t>
  </si>
  <si>
    <t>* opp skill1</t>
  </si>
  <si>
    <t>* opp skill2</t>
  </si>
  <si>
    <t>* opp item2</t>
  </si>
  <si>
    <t>* opp skill3</t>
  </si>
  <si>
    <t>* opp item3</t>
  </si>
  <si>
    <r>
      <t>* opp item1, 2, 3</t>
    </r>
    <r>
      <rPr>
        <sz val="10"/>
        <rFont val="Arial"/>
        <family val="2"/>
      </rPr>
      <t xml:space="preserve"> - the number of items in opposite school 1, 2 &amp; 3 (these decrease the power)</t>
    </r>
  </si>
  <si>
    <r>
      <t>* opp school1, 2, 3</t>
    </r>
    <r>
      <rPr>
        <sz val="10"/>
        <rFont val="Arial"/>
        <family val="2"/>
      </rPr>
      <t xml:space="preserve"> - the opposite of skill1, 2 &amp; 3, if any</t>
    </r>
  </si>
  <si>
    <t>* item count</t>
  </si>
  <si>
    <r>
      <t>* item count</t>
    </r>
    <r>
      <rPr>
        <sz val="10"/>
        <rFont val="Arial"/>
        <family val="2"/>
      </rPr>
      <t xml:space="preserve"> - all boosting items minus all opposite items</t>
    </r>
  </si>
  <si>
    <r>
      <t>* power_exp</t>
    </r>
    <r>
      <rPr>
        <sz val="10"/>
        <rFont val="Arial"/>
        <family val="2"/>
      </rPr>
      <t xml:space="preserve"> - the multiply factor for the power, based on the specific boost items (previous row)</t>
    </r>
  </si>
  <si>
    <r>
      <t>* item1, 2, 3</t>
    </r>
    <r>
      <rPr>
        <sz val="10"/>
        <rFont val="Arial"/>
        <family val="2"/>
      </rPr>
      <t xml:space="preserve"> - number of items specifically boosting skill1, 2 and 3</t>
    </r>
  </si>
  <si>
    <r>
      <t>* skill1, 2, 3</t>
    </r>
    <r>
      <rPr>
        <sz val="10"/>
        <rFont val="Arial"/>
        <family val="2"/>
      </rPr>
      <t xml:space="preserve"> - the skill level in type1, 2 and 3</t>
    </r>
  </si>
  <si>
    <r>
      <t>FailCat</t>
    </r>
    <r>
      <rPr>
        <sz val="10"/>
        <rFont val="Arial"/>
        <family val="2"/>
      </rPr>
      <t xml:space="preserve"> - the failure category the game lists when displaying the spells (Uses rough failure, not Pfail)</t>
    </r>
  </si>
  <si>
    <r>
      <t>eff. Power</t>
    </r>
    <r>
      <rPr>
        <sz val="10"/>
        <rFont val="Arial"/>
        <family val="2"/>
      </rPr>
      <t xml:space="preserve"> - the effective power of the spell (the minimum of Power and Power Cap).</t>
    </r>
  </si>
  <si>
    <t>charms all monsters if they don't resist. Dogs are tamed easier (1.5x). There is a (power/10)% chance that charm is permanent. Duration depends on target's HD.</t>
  </si>
  <si>
    <t>all in sight; Misc. = save difficulty vs. magic; duration depends on target's HD</t>
  </si>
  <si>
    <t>Target becomes friendly for the duration. Misc. = save difficulty vs. magic. Duration depends on target's HD.</t>
  </si>
  <si>
    <t>confuses monster; duration depends on target's HD; misc. = save difficulty vs. magic</t>
  </si>
  <si>
    <t>all in sight; Duration depends on target's HD.</t>
  </si>
  <si>
    <t>ENCH_CHARM</t>
  </si>
  <si>
    <t>ENCH_SLEEP_WARY</t>
  </si>
  <si>
    <t>avg. fallback 1 level</t>
  </si>
  <si>
    <t>cumul. Fallback</t>
  </si>
  <si>
    <t>Misc.</t>
  </si>
  <si>
    <t>misc. = max mass moved. If a stack weighs too much, some of them get lost.</t>
  </si>
  <si>
    <t>misc. = max hp lost; current hp = new max</t>
  </si>
  <si>
    <t>Misc. = the number of monsters effected. No damage to flyers. About 1 in 3 the lightning arcs (lesser discharge around that target).</t>
  </si>
  <si>
    <t>misc. = AC bonus</t>
  </si>
  <si>
    <t>can shatter potions (every round each has chance 1/70 of breaking). Does not combine with shield or ring of fire. Misc. is shield class</t>
  </si>
  <si>
    <t>weighs 80aum</t>
  </si>
  <si>
    <t>Misc. is average number of enchantment levels removed of all summoned in sight</t>
  </si>
  <si>
    <t>halves monster's hp</t>
  </si>
  <si>
    <t>halves</t>
  </si>
  <si>
    <t>gives a mutation; needs at least half your max hp; lose about half your current hp</t>
  </si>
  <si>
    <t>Str +5, hp x 1.5, haste.When ends: might pass out for d4 turns, slowed for 12+2d12 turns, hunger - 700.</t>
  </si>
  <si>
    <t>good attack, many other changes</t>
  </si>
  <si>
    <t>current hp set to misc.; spell ends if hp get higher. No damage received, except lava and deep water</t>
  </si>
  <si>
    <t>beams and missiles about 6x as unlikely to hit; full prot from dart traps</t>
  </si>
  <si>
    <t>beams and missiles about 1/4 less likely to hit; dart traps unlikely</t>
  </si>
  <si>
    <t>inventory</t>
  </si>
  <si>
    <t>shows all cursed items, and marks unidentified ones as uncursed.</t>
  </si>
  <si>
    <t>costs 1hp</t>
  </si>
  <si>
    <t>raises corpses (not power dependent)</t>
  </si>
  <si>
    <t>SPELL_DISRUPT</t>
  </si>
  <si>
    <t>send target to Abyss; misc. = save difficulty vs. magic (no XP for kill)</t>
  </si>
  <si>
    <t xml:space="preserve">- experiment with some spells: </t>
  </si>
  <si>
    <t>ring of flames: does it move with you (thought I noticed that, but was contradicted)</t>
  </si>
  <si>
    <t xml:space="preserve">fire/ice storm: always at designated target; no duration </t>
  </si>
  <si>
    <t>Increases movement speed, even beter with levitation</t>
  </si>
  <si>
    <t>(not available; discontinued)</t>
  </si>
  <si>
    <t>(not available; currently discontinued)</t>
  </si>
  <si>
    <t>(not available; under development)</t>
  </si>
  <si>
    <t>does disintegration damage</t>
  </si>
  <si>
    <t>AIR</t>
  </si>
  <si>
    <t>Airstrike</t>
  </si>
  <si>
    <t>-</t>
  </si>
  <si>
    <t>Deflect Missiles</t>
  </si>
  <si>
    <t>Enchantment</t>
  </si>
  <si>
    <t>Conjure Ball Lightning</t>
  </si>
  <si>
    <t>Conjuration</t>
  </si>
  <si>
    <t>CONJURATION</t>
  </si>
  <si>
    <t>Conjure Flame</t>
  </si>
  <si>
    <t>Fire</t>
  </si>
  <si>
    <t>Bolt of Inaccuracy</t>
  </si>
  <si>
    <t>Bolt of Cold</t>
  </si>
  <si>
    <t>Ice</t>
  </si>
  <si>
    <t>Bolt of Fire</t>
  </si>
  <si>
    <t>Bolt of Magma</t>
  </si>
  <si>
    <t>Bolt of Draining</t>
  </si>
  <si>
    <t>Necromancy</t>
  </si>
  <si>
    <t>Bolt of Iron</t>
  </si>
  <si>
    <t>Earth</t>
  </si>
  <si>
    <t>Air</t>
  </si>
  <si>
    <t>DIVINATION</t>
  </si>
  <si>
    <t>Detect Secret Doors</t>
  </si>
  <si>
    <t>Detect Creatures</t>
  </si>
  <si>
    <t>Detect Items</t>
  </si>
  <si>
    <t>Detect Traps</t>
  </si>
  <si>
    <t>Detect Curse</t>
  </si>
  <si>
    <t>EARTH</t>
  </si>
  <si>
    <t>Dig</t>
  </si>
  <si>
    <t>Transmigration</t>
  </si>
  <si>
    <t>ENCHANTMENT</t>
  </si>
  <si>
    <t>Confusing Touch</t>
  </si>
  <si>
    <t>Corona</t>
  </si>
  <si>
    <t>Ensorcelled Hibernation</t>
  </si>
  <si>
    <t>Berserker Rage</t>
  </si>
  <si>
    <t>Confuse</t>
  </si>
  <si>
    <t>Control Teleport</t>
  </si>
  <si>
    <t>Translocation</t>
  </si>
  <si>
    <t>Enslavement</t>
  </si>
  <si>
    <t>Cause Fear</t>
  </si>
  <si>
    <t>Control Undead</t>
  </si>
  <si>
    <t>Death's Door</t>
  </si>
  <si>
    <t>FIRE</t>
  </si>
  <si>
    <t>Dragon Form</t>
  </si>
  <si>
    <t>ICE</t>
  </si>
  <si>
    <t>Condensation Shield</t>
  </si>
  <si>
    <t>NECROMANCY</t>
  </si>
  <si>
    <t>Animate Skeleton</t>
  </si>
  <si>
    <t>Corpse Rot</t>
  </si>
  <si>
    <t>Bone Shards</t>
  </si>
  <si>
    <t>Animate Dead</t>
  </si>
  <si>
    <t>Dispel Undead</t>
  </si>
  <si>
    <t>Agony</t>
  </si>
  <si>
    <t>Cigotuvi's Degeneration</t>
  </si>
  <si>
    <t>Borgnjor's Revivication</t>
  </si>
  <si>
    <t>Death Channel</t>
  </si>
  <si>
    <t>POISON</t>
  </si>
  <si>
    <t>Cure Poison</t>
  </si>
  <si>
    <t>Alistair's Intoxication</t>
  </si>
  <si>
    <t>SUMMONING</t>
  </si>
  <si>
    <t>Abjuration</t>
  </si>
  <si>
    <t>Call Canine Familiar</t>
  </si>
  <si>
    <t>Call Imp</t>
  </si>
  <si>
    <t>Demonic Horde</t>
  </si>
  <si>
    <t>TRANSMIGRATION</t>
  </si>
  <si>
    <t>Disrupt</t>
  </si>
  <si>
    <t>Poison</t>
  </si>
  <si>
    <t>Blade Hands</t>
  </si>
  <si>
    <t>Alter Self</t>
  </si>
  <si>
    <t>TRANSLOCATION</t>
  </si>
  <si>
    <t>Apportation</t>
  </si>
  <si>
    <t>Blink</t>
  </si>
  <si>
    <t>Controlled Blink</t>
  </si>
  <si>
    <t>Banishment</t>
  </si>
  <si>
    <t>Dispersal</t>
  </si>
  <si>
    <t>level</t>
  </si>
  <si>
    <t>name</t>
  </si>
  <si>
    <t>in spellbook</t>
  </si>
  <si>
    <t>Evaporate</t>
  </si>
  <si>
    <t>Extension</t>
  </si>
  <si>
    <t>Fire Brand</t>
  </si>
  <si>
    <t>Fire Storm</t>
  </si>
  <si>
    <t>Fireball</t>
  </si>
  <si>
    <t>Flame Tongue</t>
  </si>
  <si>
    <t>Fly</t>
  </si>
  <si>
    <t>Forescry</t>
  </si>
  <si>
    <t>Freeze</t>
  </si>
  <si>
    <t>Freezing Aura</t>
  </si>
  <si>
    <t>Freezing Cloud</t>
  </si>
  <si>
    <t>Haste</t>
  </si>
  <si>
    <t>Ice Bolt</t>
  </si>
  <si>
    <t>Ice Storm</t>
  </si>
  <si>
    <t>Identify</t>
  </si>
  <si>
    <t>Ignite Poison</t>
  </si>
  <si>
    <t>Insulation</t>
  </si>
  <si>
    <t>Invisibility</t>
  </si>
  <si>
    <t>Iskenderun's Mystic Blast</t>
  </si>
  <si>
    <t>Lee's Rapid Deconstruction</t>
  </si>
  <si>
    <t>Lehudib's Crystal Spear</t>
  </si>
  <si>
    <t>Lethal Infusion</t>
  </si>
  <si>
    <t>Levitation</t>
  </si>
  <si>
    <t>Lightning Bolt</t>
  </si>
  <si>
    <t>Magic Dart</t>
  </si>
  <si>
    <t>Magic Mapping</t>
  </si>
  <si>
    <t>Divination</t>
  </si>
  <si>
    <t>Mass Confusion</t>
  </si>
  <si>
    <t>Maxwell's Silver Hammer</t>
  </si>
  <si>
    <t>Mephitic Cloud</t>
  </si>
  <si>
    <t>Metabolic Englaciation</t>
  </si>
  <si>
    <t>Necromutation</t>
  </si>
  <si>
    <t>Olgreb's Toxic Radiance</t>
  </si>
  <si>
    <t>Ozocubu's Armour</t>
  </si>
  <si>
    <t>Ozocubu's Refrigeration</t>
  </si>
  <si>
    <t>Pain</t>
  </si>
  <si>
    <t>Paralyze</t>
  </si>
  <si>
    <t>Passwall</t>
  </si>
  <si>
    <t>Poison Ammunition</t>
  </si>
  <si>
    <t>Poison Weapon</t>
  </si>
  <si>
    <t>Poisonous Cloud</t>
  </si>
  <si>
    <t>Polymorph Other</t>
  </si>
  <si>
    <t>Portal</t>
  </si>
  <si>
    <t>Projected Noise</t>
  </si>
  <si>
    <t>Recall</t>
  </si>
  <si>
    <t>Summoning</t>
  </si>
  <si>
    <t>Regeneration</t>
  </si>
  <si>
    <t>Remove Curse</t>
  </si>
  <si>
    <t>Repel Missiles</t>
  </si>
  <si>
    <t>Resist Poison</t>
  </si>
  <si>
    <t>Ring of Flames</t>
  </si>
  <si>
    <t>Sandblast</t>
  </si>
  <si>
    <t>See Invisible</t>
  </si>
  <si>
    <t>Selective Amnesia</t>
  </si>
  <si>
    <t>Shadow Creatures</t>
  </si>
  <si>
    <t>Shatter</t>
  </si>
  <si>
    <t>Shock</t>
  </si>
  <si>
    <t>Silence</t>
  </si>
  <si>
    <t>Simulacrum</t>
  </si>
  <si>
    <t>Slow</t>
  </si>
  <si>
    <t>Spider Form</t>
  </si>
  <si>
    <t>Static Discharge</t>
  </si>
  <si>
    <t>ENCH_POISON_1</t>
  </si>
  <si>
    <t>ENCH_POISON_2</t>
  </si>
  <si>
    <t>ENCH_POISON_3</t>
  </si>
  <si>
    <t>ENCH_POISON_4</t>
  </si>
  <si>
    <t>ENCH_ROT_1</t>
  </si>
  <si>
    <t>ENCH_ROT_2</t>
  </si>
  <si>
    <t>ENCH_ROT_3</t>
  </si>
  <si>
    <t>ENCH_ROT_4</t>
  </si>
  <si>
    <t>* code define (numbered)</t>
  </si>
  <si>
    <t>ENCH_BACKLIGHT_1</t>
  </si>
  <si>
    <t>ENCH_BACKLIGHT_2</t>
  </si>
  <si>
    <t>ENCH_BACKLIGHT_3</t>
  </si>
  <si>
    <t>ENCH_BACKLIGHT_4</t>
  </si>
  <si>
    <t>ENCH_STICKY_FLAME_1</t>
  </si>
  <si>
    <t>ENCH_STICKY_FLAME_2</t>
  </si>
  <si>
    <t>ENCH_STICKY_FLAME_3</t>
  </si>
  <si>
    <t>ENCH_STICKY_FLAME_4</t>
  </si>
  <si>
    <t>ENCH_ABJ_1</t>
  </si>
  <si>
    <t>ENCH_ABJ_2</t>
  </si>
  <si>
    <t>ENCH_ABJ_3</t>
  </si>
  <si>
    <t>ENCH_ABJ_4</t>
  </si>
  <si>
    <t>ENCH_ABJ_5</t>
  </si>
  <si>
    <t>ENCH_ABJ_6</t>
  </si>
  <si>
    <t>* code enchantment</t>
  </si>
  <si>
    <t>TODO</t>
  </si>
  <si>
    <t>Automatic has the advantage of preventing duplicate information and quicker adaptation to future changes.</t>
  </si>
  <si>
    <t>- find out how the duration of paralysis works: "monster-&gt;speed_increment = 0", but what does that mean?</t>
  </si>
  <si>
    <t>note: this is a fair amount of work, if possible at all without resorting to Vbasic. Probably not worth the trouble</t>
  </si>
  <si>
    <t>summons 1-8 scorpions; misc. = chance of being hostile</t>
  </si>
  <si>
    <t>summons friendly Deava</t>
  </si>
  <si>
    <t>summons friendly Ice Beast</t>
  </si>
  <si>
    <t>1/3 white imp; 1/7 shadow imp; else imp (always friendly)</t>
  </si>
  <si>
    <t>calls 2-8 creatures (mostly insects); misc. chance of being hostile</t>
  </si>
  <si>
    <t>(only from one staff of destruction and from tome of Destruction)</t>
  </si>
  <si>
    <t>Evocations</t>
  </si>
  <si>
    <t>using items</t>
  </si>
  <si>
    <t>spellpower from a staff</t>
  </si>
  <si>
    <t>(note that not all skills have boosting items currently)</t>
  </si>
  <si>
    <t>summons 2-8 wraiths (perhaps spectral warriors or freezing wraiths), misc. = chance hostile. Diseases player for around 50 turns</t>
  </si>
  <si>
    <t>summons one common demon; misc. = chance of it being hostile</t>
  </si>
  <si>
    <t>summons friendly jackal,houd,war dog or wolf</t>
  </si>
  <si>
    <t>arrows become (small) friendly snakes (number depends on transmigration skill), wooden weapons bigger snakes. Cursed weapons become hostile snakes</t>
  </si>
  <si>
    <t>summons one dragon; misc. = chance of it being hostile</t>
  </si>
  <si>
    <t>summons 7-12 lesser demons; misc. = chance of hostile</t>
  </si>
  <si>
    <t>increases your to-hit with short blades by 5 or more</t>
  </si>
  <si>
    <t>hardly resistable (undead not affected); halves hitpoints of all within radius</t>
  </si>
  <si>
    <t>raises friendly small or large abomination from corpses under you; more/larger corpses give more hitdie; fresh corpses give better AC</t>
  </si>
  <si>
    <r>
      <t>HD</t>
    </r>
    <r>
      <rPr>
        <sz val="10"/>
        <rFont val="Arial"/>
        <family val="2"/>
      </rPr>
      <t xml:space="preserve"> - monster hitdice</t>
    </r>
  </si>
  <si>
    <r>
      <t>mp</t>
    </r>
    <r>
      <rPr>
        <sz val="10"/>
        <rFont val="Arial"/>
        <family val="2"/>
      </rPr>
      <t xml:space="preserve"> - magic points</t>
    </r>
  </si>
  <si>
    <r>
      <t>d(power)</t>
    </r>
    <r>
      <rPr>
        <sz val="10"/>
        <rFont val="Arial"/>
        <family val="2"/>
      </rPr>
      <t xml:space="preserve"> - die with size power, so a random number between 1 and power, averaging on (power + 1)/2</t>
    </r>
  </si>
  <si>
    <r>
      <t>dn</t>
    </r>
    <r>
      <rPr>
        <sz val="10"/>
        <rFont val="Arial"/>
        <family val="2"/>
      </rPr>
      <t xml:space="preserve"> - die with size n. E.g. </t>
    </r>
    <r>
      <rPr>
        <b/>
        <sz val="10"/>
        <rFont val="Arial"/>
        <family val="2"/>
      </rPr>
      <t>d5</t>
    </r>
    <r>
      <rPr>
        <sz val="10"/>
        <rFont val="Arial"/>
        <family val="2"/>
      </rPr>
      <t xml:space="preserve"> means a random number between 1 and 5.</t>
    </r>
  </si>
  <si>
    <r>
      <t>hp</t>
    </r>
    <r>
      <rPr>
        <sz val="10"/>
        <rFont val="Arial"/>
        <family val="2"/>
      </rPr>
      <t xml:space="preserve"> - hitpoints (current); </t>
    </r>
    <r>
      <rPr>
        <b/>
        <sz val="10"/>
        <rFont val="Arial"/>
        <family val="2"/>
      </rPr>
      <t>max hp</t>
    </r>
    <r>
      <rPr>
        <sz val="10"/>
        <rFont val="Arial"/>
        <family val="2"/>
      </rPr>
      <t xml:space="preserve"> = maximum hitpoints</t>
    </r>
  </si>
  <si>
    <t>Description of the sheets of this workbook</t>
  </si>
  <si>
    <t>used abbreviations</t>
  </si>
  <si>
    <r>
      <t>Avg. Dur.</t>
    </r>
    <r>
      <rPr>
        <sz val="10"/>
        <rFont val="Arial"/>
        <family val="2"/>
      </rPr>
      <t xml:space="preserve"> - the average duration of the effect. All durations are listed in 'absolute turns' (= independent of speed of target or player). For some enchantments the duration is dependent on the target's hitdice (see sheet Enchantments).</t>
    </r>
  </si>
  <si>
    <r>
      <t>Misc.</t>
    </r>
    <r>
      <rPr>
        <sz val="10"/>
        <rFont val="Arial"/>
        <family val="2"/>
      </rPr>
      <t xml:space="preserve"> - extra numbers that are spell-specific (see that spell's notes) E.g. mass affected, save difficulty, chance of summoned creature being hostile,…</t>
    </r>
  </si>
  <si>
    <t>Statue Form</t>
  </si>
  <si>
    <t>Sticks to Snakes</t>
  </si>
  <si>
    <t>Sticky Flame</t>
  </si>
  <si>
    <t>Sting</t>
  </si>
  <si>
    <t>Stone Arrow</t>
  </si>
  <si>
    <t>Stoneskin</t>
  </si>
  <si>
    <t>Sublimation of Blood</t>
  </si>
  <si>
    <t>Summon Butterflies</t>
  </si>
  <si>
    <t>Summon Demon</t>
  </si>
  <si>
    <t>Summon Elemental</t>
  </si>
  <si>
    <t>Summon Greater Demon</t>
  </si>
  <si>
    <t>Summon Horrible Things</t>
  </si>
  <si>
    <t>Summon Ice Beast</t>
  </si>
  <si>
    <t>Summon Scorpions</t>
  </si>
  <si>
    <t>Summon Small Mammals</t>
  </si>
  <si>
    <t>Summon Wraiths</t>
  </si>
  <si>
    <t>Sure Blade</t>
  </si>
  <si>
    <t>Swiftness</t>
  </si>
  <si>
    <t>Symbol of Torment</t>
  </si>
  <si>
    <t>Tame Beasts</t>
  </si>
  <si>
    <t>Teleport Other</t>
  </si>
  <si>
    <t>Teleport Self</t>
  </si>
  <si>
    <t>Throw Flame</t>
  </si>
  <si>
    <t>Throw Frost</t>
  </si>
  <si>
    <t>Tomb of Doroklohe</t>
  </si>
  <si>
    <t>Tukima's Dance</t>
  </si>
  <si>
    <t>Tukima's Vorpal Blade</t>
  </si>
  <si>
    <t>Twist</t>
  </si>
  <si>
    <t>Twisted Resurrection</t>
  </si>
  <si>
    <t>Vampiric Draining</t>
  </si>
  <si>
    <t>Venom Bolt</t>
  </si>
  <si>
    <t>Minor Magic, Conjurations</t>
  </si>
  <si>
    <t>Conjurations1</t>
  </si>
  <si>
    <t>Flames</t>
  </si>
  <si>
    <t>Minor Magic1, Conjuration1, Flames</t>
  </si>
  <si>
    <t>Minor Magic2, Conjurations2, Frost</t>
  </si>
  <si>
    <t>Minor Magic1, Conjurations1, Flames</t>
  </si>
  <si>
    <t>Frost</t>
  </si>
  <si>
    <t>Minor Magic2, Frost</t>
  </si>
  <si>
    <t>Invocations</t>
  </si>
  <si>
    <t>Conjurations2, Ice</t>
  </si>
  <si>
    <t>Surveyances</t>
  </si>
  <si>
    <t>Spacial Translocations</t>
  </si>
  <si>
    <t>Enchantments</t>
  </si>
  <si>
    <t>animates skeleton you're standing on</t>
  </si>
  <si>
    <t>changes monster to lump of flesh; Misc. = save difficulty vs. magic</t>
  </si>
  <si>
    <t>raises a Spectral Horror from any monster you kill (must be killed in close combat?)</t>
  </si>
  <si>
    <t xml:space="preserve">same as fireball, only fires as a free action when activated (triggered as ability) </t>
  </si>
  <si>
    <t>beams; misc. = save difficulty vs. magic</t>
  </si>
  <si>
    <t>turn into dragon (hp *1.6, str +10, AC+= 7+fire/3, ev -3, cold -1, fire +2, pois +1, flight, no equip)</t>
  </si>
  <si>
    <r>
      <t>notes</t>
    </r>
    <r>
      <rPr>
        <sz val="10"/>
        <rFont val="Arial"/>
        <family val="2"/>
      </rPr>
      <t xml:space="preserve"> - notes about the spell (type, side effects, etc.). Beams means the ray will continue in a straight line after hitting the first target. Otherwise targeted spells will have their effect at the first creature they encounter on the way to the given target.</t>
    </r>
  </si>
  <si>
    <t>Ice Beast form (hp *1.2, AC+=5+(ice+1)/4, cold +3, fire -1, pois +1)</t>
  </si>
  <si>
    <t>makes wielded normal blunt weapon a vorpal-brand (= of crushing)</t>
  </si>
  <si>
    <t>cloud that can confuse and poison those inside</t>
  </si>
  <si>
    <t>player changes to Lich: AC+=3+necromancy/6, cold +1, neg +3, pois +1, is_undead, res magic +50, boosts necromancy, and drain attack (if empty-handed)</t>
  </si>
  <si>
    <t>only in main dungeon branch; go up to 9 levels up or down (between lvl 1 and 27)</t>
  </si>
  <si>
    <t>spider shape (AC+=2+poison/6, EV+3, faster, dex +5, poison attack)</t>
  </si>
  <si>
    <t>turn into stone golem (hp *1.5, AC+=17+earth/2, ev -5, elec +1, pois +1, neg +1, slow; can wear armour)</t>
  </si>
  <si>
    <t>Young Poisoner</t>
  </si>
  <si>
    <t>Death</t>
  </si>
  <si>
    <t>Minor Magic, Hindrance</t>
  </si>
  <si>
    <t>Changes</t>
  </si>
  <si>
    <t>Ice Form</t>
  </si>
  <si>
    <t>Enchantments, Practical Magic</t>
  </si>
  <si>
    <t>Fire, War Chants</t>
  </si>
  <si>
    <t>Ice, War Chants</t>
  </si>
  <si>
    <t>War Chants</t>
  </si>
  <si>
    <t>Fire, Changes, Clouds</t>
  </si>
  <si>
    <t>Minor Magic1, Conjurations1, Flames, Clouds</t>
  </si>
  <si>
    <t>Minor Magic1, Conjuration1, Flames, Clouds</t>
  </si>
  <si>
    <t>Conjurations2, Frost, Clouds</t>
  </si>
  <si>
    <t>War Chants, Necromancy</t>
  </si>
  <si>
    <t>Necromicon</t>
  </si>
  <si>
    <t>Invocations, Necromicon</t>
  </si>
  <si>
    <t>Transfigurations, Necromicon</t>
  </si>
  <si>
    <t>Frost, Callings</t>
  </si>
  <si>
    <t>Charms</t>
  </si>
  <si>
    <t>Ice, Charms</t>
  </si>
  <si>
    <t>Hindrance, Charms</t>
  </si>
  <si>
    <t>Invocations, Demonology</t>
  </si>
  <si>
    <t>Callings, Demonology</t>
  </si>
  <si>
    <t>Demonology</t>
  </si>
  <si>
    <t>War Chants, Charms, Air</t>
  </si>
  <si>
    <t>Minor Magic3, Conjurations2, Tempests, Air</t>
  </si>
  <si>
    <t>Charms, Sky</t>
  </si>
  <si>
    <t>Sky</t>
  </si>
  <si>
    <t>Enchantments, Sky</t>
  </si>
  <si>
    <t>Tempests, Sky</t>
  </si>
  <si>
    <t>Surveyances, Divinations</t>
  </si>
  <si>
    <t>Divinations</t>
  </si>
  <si>
    <t>Practical Magic, Divinations</t>
  </si>
  <si>
    <t>Invocations, Warp</t>
  </si>
  <si>
    <t>Warp</t>
  </si>
  <si>
    <t>Changes, Envenomations</t>
  </si>
  <si>
    <t>Envenomations</t>
  </si>
  <si>
    <t>Callings, Envenomations</t>
  </si>
  <si>
    <t>Annihilations</t>
  </si>
  <si>
    <t>Sky, Annihilations</t>
  </si>
  <si>
    <t>Fire, Annihilations</t>
  </si>
  <si>
    <t>Ice, Annihilations</t>
  </si>
  <si>
    <t>Unlife</t>
  </si>
  <si>
    <t>Ice, Unlife</t>
  </si>
  <si>
    <t>Spacial Translocations, Control</t>
  </si>
  <si>
    <t>Charms, Control</t>
  </si>
  <si>
    <t>Ice, Control</t>
  </si>
  <si>
    <t>Necromicon, Control</t>
  </si>
  <si>
    <t>Mutations</t>
  </si>
  <si>
    <t>Transfigurations, Mutations</t>
  </si>
  <si>
    <t>Tukima</t>
  </si>
  <si>
    <t>Geomancy</t>
  </si>
  <si>
    <t>Transfigurations, Geomancy</t>
  </si>
  <si>
    <t>Conjurations1, Geomancy</t>
  </si>
  <si>
    <t>Mutations, Geomancy</t>
  </si>
  <si>
    <t>Changes, Practical Magic, Earth</t>
  </si>
  <si>
    <t>Transfigurations, Earth</t>
  </si>
  <si>
    <t>Annihilations, Earth</t>
  </si>
  <si>
    <t>Tempests, Mutations, Earth</t>
  </si>
  <si>
    <t>Divinations, Wizardry</t>
  </si>
  <si>
    <t>Fire, Callings, Air, Geomancy, Wizardry</t>
  </si>
  <si>
    <t>Surveyances, Earth, Wizardry</t>
  </si>
  <si>
    <t>Spacial Translocations, Wizardry</t>
  </si>
  <si>
    <t>Conjurations1, Flames, Tempests, Wizardry</t>
  </si>
  <si>
    <t>Enchantments, War Chants, Wizardry</t>
  </si>
  <si>
    <t>Necromancy, Unlife, Power</t>
  </si>
  <si>
    <t>Young Poisoner, Power</t>
  </si>
  <si>
    <t>Geomancy, Power</t>
  </si>
  <si>
    <t>Control, Power</t>
  </si>
  <si>
    <t>Clouds, Envenomations, Annihilations, Power</t>
  </si>
  <si>
    <t>Hindrance, Cantrips</t>
  </si>
  <si>
    <t>Necromancy, Cantrips</t>
  </si>
  <si>
    <t>Changes, Cantrips</t>
  </si>
  <si>
    <t>Surveyances, Divinations, Cantrips</t>
  </si>
  <si>
    <t>Party Tricks</t>
  </si>
  <si>
    <t>Spacial Translocations, Cantrips, Party Tricks</t>
  </si>
  <si>
    <t>Practical Magic, Party Tricks</t>
  </si>
  <si>
    <t>Minor Magic, Spacial Translocations, Party Tricks</t>
  </si>
  <si>
    <t>Enchantments, Air, Party Tricks</t>
  </si>
  <si>
    <t>Minor Magic1,3, Callings, Cantrips, Beasts</t>
  </si>
  <si>
    <t>Minor Magic2, Changes, Callings, Beasts</t>
  </si>
  <si>
    <t>Divinations, Wizardry, Beasts</t>
  </si>
  <si>
    <t>Minor Magic3, Invocations, Beasts</t>
  </si>
  <si>
    <t>Control, Beasts</t>
  </si>
  <si>
    <t>Transfigurations, Beasts</t>
  </si>
  <si>
    <t>Young Poisoner, Assassinations</t>
  </si>
  <si>
    <t>Tukima, Assassinations</t>
  </si>
  <si>
    <t>Minor Magic, Conjurations 2, Young Poisoner, Clouds, Air, Assassinations</t>
  </si>
  <si>
    <t>Hindrance, Assassinations</t>
  </si>
  <si>
    <t>Charms, Power, Assassinations</t>
  </si>
  <si>
    <t>skills</t>
  </si>
  <si>
    <t>Spellcasting</t>
  </si>
  <si>
    <t>other</t>
  </si>
  <si>
    <t>Intelligence</t>
  </si>
  <si>
    <t>Power</t>
  </si>
  <si>
    <t>my char</t>
  </si>
  <si>
    <t>SPELL_MAGIC_DART</t>
  </si>
  <si>
    <t>SPELL_SUMMON_SMALL_MAMMAL</t>
  </si>
  <si>
    <t>SPELL_THROW_FLAME</t>
  </si>
  <si>
    <t>SPELL_BLINK</t>
  </si>
  <si>
    <t>SPELL_SLOW</t>
  </si>
  <si>
    <t>SPELL_MEPHITIC_CLOUD</t>
  </si>
  <si>
    <t>SPELL_CONJURE_FLAME</t>
  </si>
  <si>
    <t>SPELL_THROW_FROST</t>
  </si>
  <si>
    <t>SPELL_STICKS_TO_SNAKES</t>
  </si>
  <si>
    <t>SPELL_OZOCUBUS_ARMOUR</t>
  </si>
  <si>
    <t>SPELL_REPEL_MISSILES</t>
  </si>
  <si>
    <t>SPELL_SUMMON_LARGE_MAMMAL</t>
  </si>
  <si>
    <t>SPELL_STONE_ARROW</t>
  </si>
  <si>
    <t>SPELL_BOLT_OF_MAGMA</t>
  </si>
  <si>
    <t>SPELL_FIREBALL</t>
  </si>
  <si>
    <t>SPELL_DISCHARGE</t>
  </si>
  <si>
    <t>SPELL_BOLT_OF_COLD</t>
  </si>
  <si>
    <t>SPELL_FREEZING_CLOUD</t>
  </si>
  <si>
    <t>SPELL_FLAME_TONGUE</t>
  </si>
  <si>
    <t>SPELL_STICKY_FLAME</t>
  </si>
  <si>
    <t>SPELL_FREEZE</t>
  </si>
  <si>
    <t>SPELL_ICE_BOLT</t>
  </si>
  <si>
    <t>SPELL_SUMMON_ICE_BEAST</t>
  </si>
  <si>
    <t>SPELL_ABJURATION_I</t>
  </si>
  <si>
    <t>SPELL_RECALL</t>
  </si>
  <si>
    <t>SPELL_SHADOW_CREATURES</t>
  </si>
  <si>
    <t>SPELL_SUMMON_WRAITHS</t>
  </si>
  <si>
    <t>SPELL_SUMMON_HORRIBLE_THINGS</t>
  </si>
  <si>
    <t>SPELL_EVAPORATE</t>
  </si>
  <si>
    <t>SPELL_FIRE_BRAND</t>
  </si>
  <si>
    <t>SPELL_SUMMON_ELEMENTAL</t>
  </si>
  <si>
    <t>Conjurations1, Fire</t>
  </si>
  <si>
    <t>SPELL_RING_OF_FLAMES</t>
  </si>
  <si>
    <t>haste friendly monster; or self (duration = Misc.; corrupts slightly)</t>
  </si>
  <si>
    <t>heals friendly monster; misc. = heal self</t>
  </si>
  <si>
    <t>5-50</t>
  </si>
  <si>
    <t>maps between 50 and 100% of all squares within radius (power dependent)</t>
  </si>
  <si>
    <t>no code available -&gt; does nothing</t>
  </si>
  <si>
    <t>changes status of all equipped cursed items to uncursed</t>
  </si>
  <si>
    <t>adds (one level) poison resistance</t>
  </si>
  <si>
    <t>creates a friendly random monster</t>
  </si>
  <si>
    <t>silences self (this hinders stealth!); prevents any spellcasting in range</t>
  </si>
  <si>
    <t>- remove duplication of spells in spellbooks (SpellbooksOwned) and spellbooks containing a spell (SpellProperties)</t>
  </si>
  <si>
    <t>- beam effects usually have their damage reduced by 1 + d(AC): add notes to applicable spells</t>
  </si>
  <si>
    <t>(if self effected: each scroll has chance 8/70 per turn of burning)</t>
  </si>
  <si>
    <t>Misc. is chance of demon being hostile</t>
  </si>
  <si>
    <t>SPELL_IGNITE_POISON</t>
  </si>
  <si>
    <t>SPELL_DELAYED_FIREBALL</t>
  </si>
  <si>
    <t>SPELL_FREEZING_AURA</t>
  </si>
  <si>
    <t>SPELL_SLEEP</t>
  </si>
  <si>
    <t>SPELL_CONDENSATION_SHIELD</t>
  </si>
  <si>
    <t>SPELL_OZOCUBUS_REFRIGERATION</t>
  </si>
  <si>
    <t>SPELL_MASS_SLEEP</t>
  </si>
  <si>
    <t>SPELL_SIMULACRUM</t>
  </si>
  <si>
    <t>SPELL_DETECT_SECRET_DOORS</t>
  </si>
  <si>
    <t>SPELL_DETECT_TRAPS</t>
  </si>
  <si>
    <t>SPELL_DETECT_ITEMS</t>
  </si>
  <si>
    <t>SPELL_MAGIC_MAPPING</t>
  </si>
  <si>
    <t>SPELL_APPORTATION</t>
  </si>
  <si>
    <t>SPELL_TELEPORT_OTHER</t>
  </si>
  <si>
    <t>SPELL_TELEPORT_SELF</t>
  </si>
  <si>
    <t>SPELL_CONTROL_TELEPORT</t>
  </si>
  <si>
    <t>SPELL_LEVITATION</t>
  </si>
  <si>
    <t>SPELL_SELECTIVE_AMNESIA</t>
  </si>
  <si>
    <t>SPELL_REMOVE_CURSE</t>
  </si>
  <si>
    <t>SPELL_CAUSE_FEAR</t>
  </si>
  <si>
    <t>SPELL_EXTENSION</t>
  </si>
  <si>
    <t>SPELL_DEFLECT_MISSILES</t>
  </si>
  <si>
    <t>SPELL_HASTE</t>
  </si>
  <si>
    <t>SPELL_STING</t>
  </si>
  <si>
    <t>SPELL_CURE_POISON_II</t>
  </si>
  <si>
    <t>SPELL_POISON_WEAPON</t>
  </si>
  <si>
    <t>SPELL_VENOM_BOLT</t>
  </si>
  <si>
    <t>SPELL_LIGHTNING_BOLT</t>
  </si>
  <si>
    <t>SPELL_SHATTER</t>
  </si>
  <si>
    <t>SPELL_CORPSE_ROT</t>
  </si>
  <si>
    <t>SPELL_BONE_SHARDS</t>
  </si>
  <si>
    <t>SPELL_LETHAL_INFUSION</t>
  </si>
  <si>
    <t>SPELL_AGONY</t>
  </si>
  <si>
    <t>SPELL_BOLT_OF_DRAINING</t>
  </si>
  <si>
    <t>SPELL_CONFUSING_TOUCH</t>
  </si>
  <si>
    <t>SPELL_CONFUSE</t>
  </si>
  <si>
    <t>SPELL_PARALYZE</t>
  </si>
  <si>
    <t>SPELL_FULSOME_DISTILLATION</t>
  </si>
  <si>
    <t>SPELL_SPIDER_FORM</t>
  </si>
  <si>
    <t>SPELL_ICE_FORM</t>
  </si>
  <si>
    <t>SPELL_DIG</t>
  </si>
  <si>
    <t>SPELL_BLADE_HANDS</t>
  </si>
  <si>
    <t>SPELL_SANDBLAST</t>
  </si>
  <si>
    <t>SPELL_POLYMORPH_OTHER</t>
  </si>
  <si>
    <t>SPELL_STATUE_FORM</t>
  </si>
  <si>
    <t>SPELL_ALTER_SELF</t>
  </si>
  <si>
    <t>SPELL_DRAGON_FORM</t>
  </si>
  <si>
    <t>SPELL_PROJECTED_NOISE</t>
  </si>
  <si>
    <t>SPELL_DETECT_CURSE</t>
  </si>
  <si>
    <t>SPELL_BERSERKER_RAGE</t>
  </si>
  <si>
    <t>SPELL_REGENERATION</t>
  </si>
  <si>
    <t>SPELL_POISONOUS_CLOUD</t>
  </si>
  <si>
    <t>SPELL_CURE_POISON_I</t>
  </si>
  <si>
    <t>SPELL_LESSER_HEALING</t>
  </si>
  <si>
    <t>SPELL_GREATER_HEALING</t>
  </si>
  <si>
    <t>SPELL_PURIFICATION</t>
  </si>
  <si>
    <t>Healing</t>
  </si>
  <si>
    <t>SPELL_PAIN</t>
  </si>
  <si>
    <t>SPELL_ANIMATE_SKELETON</t>
  </si>
  <si>
    <t>SPELL_DISPEL_UNDEAD</t>
  </si>
  <si>
    <t>SPELL_ANIMATE_DEAD</t>
  </si>
  <si>
    <t>SPELL_SYMBOL_OF_TORMENT</t>
  </si>
  <si>
    <t>SPELL_CONTROL_UNDEAD</t>
  </si>
  <si>
    <t>SPELL_DEATHS_DOOR</t>
  </si>
  <si>
    <t>SPELL_NECROMUTATION</t>
  </si>
  <si>
    <t>SPELL_DEATH_CHANNEL</t>
  </si>
  <si>
    <t>SPELL_CALL_IMP</t>
  </si>
  <si>
    <t>SPELL_SUMMON_SCORPIONS</t>
  </si>
  <si>
    <t>SPELL_BACKLIGHT</t>
  </si>
  <si>
    <t>SPELL_SILENCE</t>
  </si>
  <si>
    <t>SPELL_ENSLAVEMENT</t>
  </si>
  <si>
    <t>SPELL_INVISIBILITY</t>
  </si>
  <si>
    <t>SPELL_SUMMON_DEMON</t>
  </si>
  <si>
    <t>SPELL_SUMMON_GREATER_DEMON</t>
  </si>
  <si>
    <t>SPELL_DEMONIC_HORDE</t>
  </si>
  <si>
    <t>SPELL_SHOCK</t>
  </si>
  <si>
    <t>SPELL_SWIFTNESS</t>
  </si>
  <si>
    <t>SPELL_INSULATION</t>
  </si>
  <si>
    <t>SPELL_AIRSTRIKE</t>
  </si>
  <si>
    <t>SPELL_FLY</t>
  </si>
  <si>
    <t>SPELL_CONJURE_BALL_LIGHTNING</t>
  </si>
  <si>
    <t>SPELL_DETECT_CREATURES</t>
  </si>
  <si>
    <t>SPELL_SEE_INVISIBLE</t>
  </si>
  <si>
    <t>SPELL_FORESCRY</t>
  </si>
  <si>
    <t>SPELL_IDENTIFY</t>
  </si>
  <si>
    <t>SPELL_CONTROLLED_BLINK</t>
  </si>
  <si>
    <t>SPELL_BANISHMENT</t>
  </si>
  <si>
    <t>SPELL_DISPERSAL</t>
  </si>
  <si>
    <t>SPELL_PORTAL</t>
  </si>
  <si>
    <t>SPELL_POISON_AMMUNITION</t>
  </si>
  <si>
    <t>SPELL_RESIST_POISON</t>
  </si>
  <si>
    <t>SPELL_OLGREBS_TOXIC_RADIANCE</t>
  </si>
  <si>
    <t>SPELL_ISKENDERUNS_MYSTIC_BLAST</t>
  </si>
  <si>
    <t>SPELL_POISON_ARROW</t>
  </si>
  <si>
    <t>SPELL_ORB_OF_ELECTROCUTION</t>
  </si>
  <si>
    <t>SPELL_LEHUDIBS_CRYSTAL_SPEAR</t>
  </si>
  <si>
    <t>SPELL_ICE_STORM</t>
  </si>
  <si>
    <t>SPELL_FIRE_STORM</t>
  </si>
  <si>
    <t>SPELL_SUBLIMATION_OF_BLOOD</t>
  </si>
  <si>
    <t>SPELL_TWISTED_RESURRECTION</t>
  </si>
  <si>
    <t>SPELL_BORGNJORS_REVIVIFICATION</t>
  </si>
  <si>
    <t>SPELL_TAME_BEASTS</t>
  </si>
  <si>
    <t>SPELL_MASS_CONFUSION</t>
  </si>
  <si>
    <t>SPELL_FRAGMENTATION</t>
  </si>
  <si>
    <t>SPELL_CIGOTUVIS_DEGENERATION</t>
  </si>
  <si>
    <t>SPELL_SURE_BLADE</t>
  </si>
  <si>
    <t>SPELL_TUKIMAS_VORPAL_BLADE</t>
  </si>
  <si>
    <t>SPELL_TUKIMAS_DANCE</t>
  </si>
  <si>
    <t>SPELL_STONESKIN</t>
  </si>
  <si>
    <t>SPELL_PASSWALL</t>
  </si>
  <si>
    <t>SPELL_MAXWELLS_SILVER_HAMMER</t>
  </si>
  <si>
    <t>SPELL_BOLT_OF_FIRE</t>
  </si>
  <si>
    <t>SPELL_BOLT_OF_INACCURACY</t>
  </si>
  <si>
    <t>SPELL_BOLT_OF_IRON</t>
  </si>
  <si>
    <t>SPELL_INTOXICATE</t>
  </si>
  <si>
    <t>SPELL_SUMMON_BUTTERFLIES</t>
  </si>
  <si>
    <t>SPELL_TOMB_OF_DOROKLOHE</t>
  </si>
  <si>
    <t>SPELL_VAMPIRIC_DRAINING</t>
  </si>
  <si>
    <t>SPELL_RESTORE_STRENGTH</t>
  </si>
  <si>
    <t>SPELL_RESTORE_INTELLIGENCE</t>
  </si>
  <si>
    <t>SPELL_RESTORE_DEXTERITY</t>
  </si>
  <si>
    <t>Restore Strength</t>
  </si>
  <si>
    <t>Restore Intelligence</t>
  </si>
  <si>
    <t>Restore Dexterity</t>
  </si>
  <si>
    <t>Holy</t>
  </si>
  <si>
    <t>Lesser Healing</t>
  </si>
  <si>
    <t>Greater Healing</t>
  </si>
  <si>
    <t>Purification</t>
  </si>
  <si>
    <t>Burn</t>
  </si>
  <si>
    <t>(used by Wanderers)</t>
  </si>
  <si>
    <t>SPELL_GUARDIAN</t>
  </si>
  <si>
    <t>SPELL_BURN</t>
  </si>
  <si>
    <t>Guardian</t>
  </si>
  <si>
    <t>Pestilence</t>
  </si>
  <si>
    <t>SPELL_PESTILENCE</t>
  </si>
  <si>
    <t>SPELL_THUNDERBOLT</t>
  </si>
  <si>
    <t>Thunderbolt</t>
  </si>
  <si>
    <t>Flame of Cleansing</t>
  </si>
  <si>
    <t>SPELL_FLAME_OF_CLEANSING</t>
  </si>
  <si>
    <t>SPELL_SHINING_LIGHT</t>
  </si>
  <si>
    <t>Shining Light</t>
  </si>
  <si>
    <t>Summon Daeva</t>
  </si>
  <si>
    <t>no save for undead (!?)</t>
  </si>
  <si>
    <t>confuses self and intelligent, monsters that don't resist poison. 5% chance of losing 1-3 Int; misc. = save difficulty vs. magic</t>
  </si>
  <si>
    <t>The caster must touch monster within duration. Misc. = save difficulty vs. magic</t>
  </si>
  <si>
    <t>removes invisibility; already glowing or perm. invisible monsters are immune; Misc. = save difficulty vs. magic</t>
  </si>
  <si>
    <t>teleports adjacent monsters, or blinks if they save; Misc. = save difficulty vs. magic</t>
  </si>
  <si>
    <t>Misc. = save difficulty vs. magic</t>
  </si>
  <si>
    <t>Misc. = save difficulty vs. magic (?)</t>
  </si>
  <si>
    <t>sleeps all in sight; might slow cold-blooded monsters. Misc. = save difficulty vs. magic. Targets will resist further sleeps for a while (see enchantment 'sleep wary')</t>
  </si>
  <si>
    <t>paralyzes monster; Misc. = save difficulty vs. magic</t>
  </si>
  <si>
    <t>slows down monster; Misc. = save difficulty vs. magic. Duration depends on monster HD</t>
  </si>
  <si>
    <t>delay: 3-5 turns; will always end in empty ('safe') square</t>
  </si>
  <si>
    <t>alerts monsters within range</t>
  </si>
  <si>
    <t>target will resist further sleeps for a while (see enchantment 'sleep wary')</t>
  </si>
  <si>
    <t>until woken</t>
  </si>
  <si>
    <t xml:space="preserve">Misc = average # squares clouded; cold resistant get no damage; vuln. to cold gives avg. 7.5 extra </t>
  </si>
  <si>
    <t>misc. = average number of squares of the cloud; poison resistance: no effect; poisons monster</t>
  </si>
  <si>
    <t>near</t>
  </si>
  <si>
    <t>adds one level electricity resistance</t>
  </si>
  <si>
    <t>SPELL_SUMMON_DAEVA</t>
  </si>
  <si>
    <t>SPELL_ABJURATION_II</t>
  </si>
  <si>
    <t>SPELL_SMITING</t>
  </si>
  <si>
    <t>Smiting</t>
  </si>
  <si>
    <t>Repel Undead</t>
  </si>
  <si>
    <t>SPELL_REPEL_UNDEAD</t>
  </si>
  <si>
    <t>SPELL_HOLY_WORD</t>
  </si>
  <si>
    <t>Holy Word</t>
  </si>
  <si>
    <t>Heal Other</t>
  </si>
  <si>
    <t>SPELL_HEAL_OTHER</t>
  </si>
  <si>
    <t>Delayed Fireball</t>
  </si>
  <si>
    <t>Fulsome Distillation</t>
  </si>
  <si>
    <t>Poison Arrow</t>
  </si>
  <si>
    <t>Striking</t>
  </si>
  <si>
    <t>SPELL_STRIKING</t>
  </si>
  <si>
    <t>Orb of Electrocution</t>
  </si>
  <si>
    <t>notes</t>
  </si>
  <si>
    <t>less damage on higher AC</t>
  </si>
  <si>
    <t>unresistable</t>
  </si>
  <si>
    <t>Hits</t>
  </si>
  <si>
    <t>Range</t>
  </si>
  <si>
    <t>8+d5</t>
  </si>
  <si>
    <t>6+d8</t>
  </si>
  <si>
    <t>7+d5</t>
  </si>
  <si>
    <t>5+d8</t>
  </si>
  <si>
    <t>eff. Power</t>
  </si>
  <si>
    <t>beams&amp;reflects</t>
  </si>
  <si>
    <t>Sandblast (wield stone/rock)</t>
  </si>
  <si>
    <t>1 or 2</t>
  </si>
  <si>
    <t>6+d10</t>
  </si>
  <si>
    <t>SPELL_HELLFIRE</t>
  </si>
  <si>
    <t>(only from staff Dispater or scepter Asmodeus)</t>
  </si>
  <si>
    <t>4+d4</t>
  </si>
  <si>
    <t>beams</t>
  </si>
  <si>
    <t>7+d10</t>
  </si>
  <si>
    <t>SPELL_DISINTEGRATE</t>
  </si>
  <si>
    <t>ZAP_NEGATIVE_ENERGY</t>
  </si>
  <si>
    <t>ZAP_VENOM_BOLT</t>
  </si>
  <si>
    <t>ZAP_STRIKING</t>
  </si>
  <si>
    <t>ZAP_MAGIC_DARTS</t>
  </si>
  <si>
    <t>ZAP_STING</t>
  </si>
  <si>
    <t>ZAP_ELECTRICITY</t>
  </si>
  <si>
    <t>ZAP_DISRUPTION</t>
  </si>
  <si>
    <t>ZAP_PAIN</t>
  </si>
  <si>
    <t>ZAP_FLAME_TONGUE</t>
  </si>
  <si>
    <t>ZAP_SMALL_SANDBLAST</t>
  </si>
  <si>
    <t>ZAP_SANDBLAST</t>
  </si>
  <si>
    <t>ZAP_BONE_SHARDS</t>
  </si>
  <si>
    <t>ZAP_FLAME</t>
  </si>
  <si>
    <t>ZAP_FROST</t>
  </si>
  <si>
    <t>ZAP_STONE_ARROW</t>
  </si>
  <si>
    <t>ZAP_STICKY_FLAME</t>
  </si>
  <si>
    <t>ZAP_MYSTIC_BLAST</t>
  </si>
  <si>
    <t>ZAP_ICE_BOLT</t>
  </si>
  <si>
    <t>ZAP_DISPEL_UNDEAD</t>
  </si>
  <si>
    <t>ZAP_MAGMA</t>
  </si>
  <si>
    <t>ZAP_FIRE</t>
  </si>
  <si>
    <t>ZAP_COLD</t>
  </si>
  <si>
    <t>4+d5</t>
  </si>
  <si>
    <t>Spells by Type</t>
  </si>
  <si>
    <t xml:space="preserve">number of items of </t>
  </si>
  <si>
    <t>ZAP_DISINTEGRATION</t>
  </si>
  <si>
    <t>ZAP_POISON_ARROW</t>
  </si>
  <si>
    <t>ZAP_IRON_BOLT</t>
  </si>
  <si>
    <t>ZAP_ORB_OF_ELECTRICITY</t>
  </si>
  <si>
    <t>ZAP_ORB_OF_FRAGMENTATION</t>
  </si>
  <si>
    <t>8+d7</t>
  </si>
  <si>
    <t>fragments; extra AC resist</t>
  </si>
  <si>
    <t>8+d12</t>
  </si>
  <si>
    <t>ZAP_ICE_STORM</t>
  </si>
  <si>
    <t>ZAP_HELLFIRE</t>
  </si>
  <si>
    <t>ZAP_BEAM_OF_ENERGY</t>
  </si>
  <si>
    <t>ZAP_DIGGING</t>
  </si>
  <si>
    <t>ZAP_POLYMORPH_OTHER</t>
  </si>
  <si>
    <t>ZAP_SLOWING</t>
  </si>
  <si>
    <t>ZAP_HASTING</t>
  </si>
  <si>
    <t>ZAP_PARALYSIS</t>
  </si>
  <si>
    <t>ZAP_CONFUSION</t>
  </si>
  <si>
    <t>ZAP_INVISIBILITY</t>
  </si>
  <si>
    <t>ZAP_TELEPORTATION</t>
  </si>
  <si>
    <t>ZAP_ENSLAVEMENT</t>
  </si>
  <si>
    <t>ZAP_HEALING</t>
  </si>
  <si>
    <t>ZAP_LIGHTNING</t>
  </si>
  <si>
    <t>ZAP_CLEANSING_FLAME</t>
  </si>
  <si>
    <t>ZAP_BANISHMENT</t>
  </si>
  <si>
    <t>ZAP_DEGENERATION</t>
  </si>
  <si>
    <t>ZAP_AGONY</t>
  </si>
  <si>
    <t>SPELL_ORB_OF_FRAGMENTATION</t>
  </si>
  <si>
    <t>ZAP_SLEEP</t>
  </si>
  <si>
    <t>ZAP_BACKLIGHT</t>
  </si>
  <si>
    <t>6+d5</t>
  </si>
  <si>
    <t>poisons 1 in 3</t>
  </si>
  <si>
    <t>beams; poisons 1 in 3</t>
  </si>
  <si>
    <t>poisons always</t>
  </si>
  <si>
    <t>beams, also drains lvls 1in 5 &amp; max hp (2-4)</t>
  </si>
  <si>
    <t>beams; does not harm naturals, plants or holy creatures</t>
  </si>
  <si>
    <t>resist: 1/2 dam for resistant and immune; 1.3 for vulnerable</t>
  </si>
  <si>
    <t>beams; 0 dam for immune; 1/3 dam for resistant; 1.5 for vulnerable</t>
  </si>
  <si>
    <t>beams; 1/2 dam to resistant and immune; vulnerable: 1.3x</t>
  </si>
  <si>
    <t>Minor Magic 1</t>
  </si>
  <si>
    <t>Minor Magic 2</t>
  </si>
  <si>
    <t>Minor Magic 3</t>
  </si>
  <si>
    <t>Conjurations 1</t>
  </si>
  <si>
    <t>Conjurations 2</t>
  </si>
  <si>
    <t>Tempests</t>
  </si>
  <si>
    <t>Hindrance</t>
  </si>
  <si>
    <t>Transfigurations</t>
  </si>
  <si>
    <t>Practical Magic</t>
  </si>
  <si>
    <t>Clouds</t>
  </si>
  <si>
    <t>Callings</t>
  </si>
  <si>
    <t>Control</t>
  </si>
  <si>
    <t>Wizardry</t>
  </si>
  <si>
    <t>Cantrips</t>
  </si>
  <si>
    <t>in spellbook1</t>
  </si>
  <si>
    <t>in spellbook2</t>
  </si>
  <si>
    <t>in spellbook3</t>
  </si>
  <si>
    <t>in spellbook4</t>
  </si>
  <si>
    <t>in spellbook5</t>
  </si>
  <si>
    <t>Minor Magic</t>
  </si>
  <si>
    <t>Conjurations</t>
  </si>
  <si>
    <t>in spellbook6</t>
  </si>
  <si>
    <t>can learn</t>
  </si>
  <si>
    <t>(from God)</t>
  </si>
  <si>
    <t>Disintegrate</t>
  </si>
  <si>
    <t>Hellfire</t>
  </si>
  <si>
    <t>Orb of Fragmentation</t>
  </si>
  <si>
    <t>(from staff of striking)</t>
  </si>
  <si>
    <t>RingOfWizardry</t>
  </si>
  <si>
    <t>StaffOfWizardry</t>
  </si>
  <si>
    <t>RobeOfTheArchmagi</t>
  </si>
  <si>
    <t>CharacterLevel</t>
  </si>
  <si>
    <t>number</t>
  </si>
  <si>
    <t>The workbook is up to date for CRAWL version: 4.0.0 beta 26.</t>
  </si>
  <si>
    <t>Credits</t>
  </si>
  <si>
    <t>Thanks to Klaas van Aarsen for expert advice on EXCEL functionality, esp. the use of lookups.</t>
  </si>
  <si>
    <t>name (book of…)</t>
  </si>
  <si>
    <t>This Excel sheet about CRAWL spells has a lot of static information about all spells, and offers a number of calculations and overviews for a specific character.</t>
  </si>
  <si>
    <r>
      <t xml:space="preserve">The fields in the </t>
    </r>
    <r>
      <rPr>
        <b/>
        <sz val="10"/>
        <rFont val="Arial"/>
        <family val="2"/>
      </rPr>
      <t>CharacterProperties</t>
    </r>
    <r>
      <rPr>
        <sz val="10"/>
        <rFont val="Arial"/>
        <family val="0"/>
      </rPr>
      <t xml:space="preserve"> sheet should speak for their own. 'number of items of' should contain the number of items that boost that particular skill, so if you have a ring of ice and a staff of ice, you fill in 2. </t>
    </r>
  </si>
  <si>
    <t>Monster Manual</t>
  </si>
  <si>
    <r>
      <t xml:space="preserve">The 'number' in </t>
    </r>
    <r>
      <rPr>
        <b/>
        <sz val="10"/>
        <rFont val="Arial"/>
        <family val="2"/>
      </rPr>
      <t>SpellbooksOwned</t>
    </r>
    <r>
      <rPr>
        <sz val="10"/>
        <rFont val="Arial"/>
        <family val="2"/>
      </rPr>
      <t xml:space="preserve"> does not need to contain the actual number of books; all values &gt; 0 are interpreted that the spellbook is available. The field may be empty or &lt;= 0 if the book is not in the character's possession.</t>
    </r>
  </si>
  <si>
    <t>If the SpellbooksOwned sheet has also been filled, the column 'can learn' in SpellProperties shows if that spell is available to the character (high enough level and has right spellbook).</t>
  </si>
  <si>
    <t>For specific information the user needs to fill in the sheets CharacterProperties, which will result in the SpellProperties containing e.g. the damage of spells for that character.</t>
  </si>
  <si>
    <t xml:space="preserve">The book Minor Magic has 3 variants, so you'll have to check which one you have. For Brevity a 'virtual' book Minor Magic has been introduced for the shared spells. This one is automatically owned as soon as you own one of the variants. </t>
  </si>
  <si>
    <r>
      <t>name</t>
    </r>
    <r>
      <rPr>
        <sz val="10"/>
        <rFont val="Arial"/>
        <family val="2"/>
      </rPr>
      <t xml:space="preserve"> - the name of the spell</t>
    </r>
  </si>
  <si>
    <t>type2</t>
  </si>
  <si>
    <t>type3</t>
  </si>
  <si>
    <t>type1</t>
  </si>
  <si>
    <r>
      <t>type1</t>
    </r>
    <r>
      <rPr>
        <sz val="10"/>
        <rFont val="Arial"/>
        <family val="2"/>
      </rPr>
      <t xml:space="preserve"> - the (alphabetically) first magic 'school' that the spell uses</t>
    </r>
  </si>
  <si>
    <r>
      <t>type2</t>
    </r>
    <r>
      <rPr>
        <sz val="10"/>
        <rFont val="Arial"/>
        <family val="2"/>
      </rPr>
      <t xml:space="preserve"> - the (alphabetically) second magic 'school' that the spell uses (empty if single type)</t>
    </r>
  </si>
  <si>
    <r>
      <t>type3</t>
    </r>
    <r>
      <rPr>
        <sz val="10"/>
        <rFont val="Arial"/>
        <family val="2"/>
      </rPr>
      <t xml:space="preserve"> - the (alphabetically) third magic 'school' that the spell uses (empty if not of 3 types)</t>
    </r>
  </si>
  <si>
    <r>
      <t xml:space="preserve">The sheet </t>
    </r>
    <r>
      <rPr>
        <b/>
        <sz val="10"/>
        <rFont val="Arial"/>
        <family val="2"/>
      </rPr>
      <t>SpellProperties</t>
    </r>
    <r>
      <rPr>
        <sz val="10"/>
        <rFont val="Arial"/>
        <family val="0"/>
      </rPr>
      <t xml:space="preserve"> is the heart of this workbook, and contains all the basic and derivated information about the spells. It contains the following columns: (* means the column contains intermediate data and is normally hidden)</t>
    </r>
  </si>
  <si>
    <r>
      <t>* power_sum</t>
    </r>
    <r>
      <rPr>
        <sz val="10"/>
        <rFont val="Arial"/>
        <family val="2"/>
      </rPr>
      <t xml:space="preserve"> - temporary result of the calculation of a spell's power, containing skills, spellcraft, and wizardy items</t>
    </r>
  </si>
  <si>
    <r>
      <t>Avg. Dam</t>
    </r>
    <r>
      <rPr>
        <sz val="10"/>
        <rFont val="Arial"/>
        <family val="2"/>
      </rPr>
      <t xml:space="preserve"> - the average damage the spell will do. Note that to determine the effectiveness of a spell, you also need to look at failure chance, monster resistances and miss chances.</t>
    </r>
  </si>
  <si>
    <r>
      <t>level</t>
    </r>
    <r>
      <rPr>
        <sz val="10"/>
        <rFont val="Arial"/>
        <family val="2"/>
      </rPr>
      <t xml:space="preserve"> - the level of the spell (= the number of spellpoints the casting costs, and the minimum level the caster needs to be to learn it)</t>
    </r>
  </si>
  <si>
    <t>The CRAWL spoiler pages of Mark Mackey (AADC) have been used as a basis for this workbook, but since they are not completely up to date, most of the info here comes directly from the source code. But a wonderful page anyhow. (http://www.swallowtail.org/crawl/index.shtml)</t>
  </si>
  <si>
    <r>
      <t>Range</t>
    </r>
    <r>
      <rPr>
        <sz val="10"/>
        <rFont val="Arial"/>
        <family val="2"/>
      </rPr>
      <t xml:space="preserve"> - the maximum distance of the spell's target</t>
    </r>
  </si>
  <si>
    <r>
      <t>Hits</t>
    </r>
    <r>
      <rPr>
        <sz val="10"/>
        <rFont val="Arial"/>
        <family val="2"/>
      </rPr>
      <t xml:space="preserve"> - the 'to hit' value used to determine whether the spell hits the target (higher is better)</t>
    </r>
  </si>
  <si>
    <r>
      <t>* code spell define</t>
    </r>
    <r>
      <rPr>
        <sz val="10"/>
        <rFont val="Arial"/>
        <family val="2"/>
      </rPr>
      <t xml:space="preserve"> - how the spell is refered to in the source code</t>
    </r>
  </si>
  <si>
    <r>
      <t>* code zap define</t>
    </r>
    <r>
      <rPr>
        <sz val="10"/>
        <rFont val="Arial"/>
        <family val="2"/>
      </rPr>
      <t xml:space="preserve"> - how the spell effect of a targeted spell is refered to in the source code</t>
    </r>
  </si>
  <si>
    <r>
      <t>can learn</t>
    </r>
    <r>
      <rPr>
        <sz val="10"/>
        <rFont val="Arial"/>
        <family val="2"/>
      </rPr>
      <t xml:space="preserve"> - if the character can learn the spell (has the right book and is high enough level)</t>
    </r>
  </si>
  <si>
    <r>
      <t>in spellbook1</t>
    </r>
    <r>
      <rPr>
        <sz val="10"/>
        <rFont val="Arial"/>
        <family val="2"/>
      </rPr>
      <t xml:space="preserve"> - one spellbook the spell can be found in, or where else the spell comes from</t>
    </r>
  </si>
  <si>
    <r>
      <t>in spellbook2</t>
    </r>
    <r>
      <rPr>
        <sz val="10"/>
        <rFont val="Arial"/>
        <family val="2"/>
      </rPr>
      <t xml:space="preserve"> - another spellbook the spell can be found in (or empty)</t>
    </r>
  </si>
  <si>
    <r>
      <t>in spellbook3</t>
    </r>
    <r>
      <rPr>
        <sz val="10"/>
        <rFont val="Arial"/>
        <family val="2"/>
      </rPr>
      <t xml:space="preserve"> - another spellbook the spell can be found in (or empty)</t>
    </r>
  </si>
  <si>
    <r>
      <t>in spellbook4</t>
    </r>
    <r>
      <rPr>
        <sz val="10"/>
        <rFont val="Arial"/>
        <family val="2"/>
      </rPr>
      <t xml:space="preserve"> - another spellbook the spell can be found in (or empty)</t>
    </r>
  </si>
  <si>
    <r>
      <t>in spellbook5</t>
    </r>
    <r>
      <rPr>
        <sz val="10"/>
        <rFont val="Arial"/>
        <family val="2"/>
      </rPr>
      <t xml:space="preserve"> - another spellbook the spell can be found in (or empty)</t>
    </r>
  </si>
  <si>
    <r>
      <t>in spellbook6</t>
    </r>
    <r>
      <rPr>
        <sz val="10"/>
        <rFont val="Arial"/>
        <family val="2"/>
      </rPr>
      <t xml:space="preserve"> - another spellbook the spell can be found in (or empty)</t>
    </r>
  </si>
  <si>
    <t>* available1</t>
  </si>
  <si>
    <t>* available2</t>
  </si>
  <si>
    <t>* available3</t>
  </si>
  <si>
    <t>* available4</t>
  </si>
  <si>
    <t>* available5</t>
  </si>
  <si>
    <t>* available6</t>
  </si>
  <si>
    <r>
      <t>* available1</t>
    </r>
    <r>
      <rPr>
        <sz val="10"/>
        <rFont val="Arial"/>
        <family val="2"/>
      </rPr>
      <t xml:space="preserve"> - intermediate result for 'can learn': spell is in spellbook1</t>
    </r>
  </si>
  <si>
    <r>
      <t>* available2</t>
    </r>
    <r>
      <rPr>
        <sz val="10"/>
        <rFont val="Arial"/>
        <family val="2"/>
      </rPr>
      <t xml:space="preserve"> - intermediate result for 'can learn': spell is in spellbook2</t>
    </r>
  </si>
  <si>
    <r>
      <t>* available3</t>
    </r>
    <r>
      <rPr>
        <sz val="10"/>
        <rFont val="Arial"/>
        <family val="2"/>
      </rPr>
      <t xml:space="preserve"> - intermediate result for 'can learn': spell is in spellbook3</t>
    </r>
  </si>
  <si>
    <r>
      <t>* available4</t>
    </r>
    <r>
      <rPr>
        <sz val="10"/>
        <rFont val="Arial"/>
        <family val="2"/>
      </rPr>
      <t xml:space="preserve"> - intermediate result for 'can learn': spell is in spellbook4</t>
    </r>
  </si>
  <si>
    <r>
      <t>* available5</t>
    </r>
    <r>
      <rPr>
        <sz val="10"/>
        <rFont val="Arial"/>
        <family val="2"/>
      </rPr>
      <t xml:space="preserve"> - intermediate result for 'can learn': spell is in spellbook5</t>
    </r>
  </si>
  <si>
    <r>
      <t>* available6</t>
    </r>
    <r>
      <rPr>
        <sz val="10"/>
        <rFont val="Arial"/>
        <family val="2"/>
      </rPr>
      <t xml:space="preserve"> - intermediate result for 'can learn': spell is in spellbook6</t>
    </r>
  </si>
  <si>
    <t>Likewise the book of Conjurations has two variants.</t>
  </si>
  <si>
    <t>The names of the spellbooks are abbreviated for ease of use. They still should be easily recognisable (most of them simply miss 'book of').</t>
  </si>
  <si>
    <t>* skill1</t>
  </si>
  <si>
    <t>* skill2</t>
  </si>
  <si>
    <t>* skill3</t>
  </si>
  <si>
    <t>* power_sum</t>
  </si>
  <si>
    <t>* item1</t>
  </si>
  <si>
    <t>* item2</t>
  </si>
  <si>
    <t>* item3</t>
  </si>
  <si>
    <t>* power_exp</t>
  </si>
  <si>
    <t>* code spell define</t>
  </si>
  <si>
    <t>* code zap define</t>
  </si>
  <si>
    <r>
      <t>* Power Cap</t>
    </r>
    <r>
      <rPr>
        <sz val="10"/>
        <rFont val="Arial"/>
        <family val="2"/>
      </rPr>
      <t xml:space="preserve"> - the cap for the power (low level spells have a power maximum) (default = 100)</t>
    </r>
  </si>
  <si>
    <t>beams; makes noise</t>
  </si>
  <si>
    <t>Stalking</t>
  </si>
  <si>
    <t xml:space="preserve">To calculate the exact spell failure, we would need a lot of information about the game. </t>
  </si>
  <si>
    <t>Basic failure = 60%</t>
  </si>
  <si>
    <t>add</t>
  </si>
  <si>
    <t xml:space="preserve">subtract </t>
  </si>
  <si>
    <t>6x your spell power without Intelligence modifier</t>
  </si>
  <si>
    <t>2x Intelligence</t>
  </si>
  <si>
    <t>armour evasion penalty * 20 - 15</t>
  </si>
  <si>
    <t>subtract</t>
  </si>
  <si>
    <t>3/20 * (your weapon speed -120%) if larger than 0</t>
  </si>
  <si>
    <t>spell level difficulty:</t>
  </si>
  <si>
    <t>remap</t>
  </si>
  <si>
    <t>divide by 2</t>
  </si>
  <si>
    <t>if you're praying to Vehemut and casting a conjuration or summoning</t>
  </si>
  <si>
    <t>20 if you're under 'Blade Hands'</t>
  </si>
  <si>
    <t>10 if you're in 'Spider Form'</t>
  </si>
  <si>
    <t>cap</t>
  </si>
  <si>
    <t>spell failure to 100</t>
  </si>
  <si>
    <t>shield penalty: 5 for buckler, 15 for shield, 30 for large shield (20 for large races)</t>
  </si>
  <si>
    <t>only add total if positive</t>
  </si>
  <si>
    <t>compensation for armour skill (cap str to [10,30], multiply with armour skill, divide by 15)</t>
  </si>
  <si>
    <t>10 if armour is dwarven</t>
  </si>
  <si>
    <t>10 if armour is for your race</t>
  </si>
  <si>
    <t>20 if armour is elven</t>
  </si>
  <si>
    <t>Here are the factors that influence spell failure:</t>
  </si>
  <si>
    <t>* base failure</t>
  </si>
  <si>
    <t xml:space="preserve">    if (chance &lt; 45)</t>
  </si>
  <si>
    <t xml:space="preserve">        chance2 = 45;</t>
  </si>
  <si>
    <t xml:space="preserve">    if (chance &lt; 42)</t>
  </si>
  <si>
    <t xml:space="preserve">        chance2 = 43;</t>
  </si>
  <si>
    <t xml:space="preserve">    if (chance &lt; 38)</t>
  </si>
  <si>
    <t xml:space="preserve">        chance2 = 41;</t>
  </si>
  <si>
    <t xml:space="preserve">    if (chance &lt; 35)</t>
  </si>
  <si>
    <t xml:space="preserve">        chance2 = 40;</t>
  </si>
  <si>
    <t xml:space="preserve">    if (chance &lt; 32)</t>
  </si>
  <si>
    <t xml:space="preserve">        chance2 = 38;</t>
  </si>
  <si>
    <t xml:space="preserve">    if (chance &lt; 28)</t>
  </si>
  <si>
    <t xml:space="preserve">        chance2 = 36;</t>
  </si>
  <si>
    <t xml:space="preserve">    if (chance &lt; 22)</t>
  </si>
  <si>
    <t xml:space="preserve">        chance2 = 34;</t>
  </si>
  <si>
    <t xml:space="preserve">    if (chance &lt; 16)</t>
  </si>
  <si>
    <t xml:space="preserve">        chance2 = 32;</t>
  </si>
  <si>
    <t xml:space="preserve">    if (chance &lt; 10)</t>
  </si>
  <si>
    <t>highest skill level</t>
  </si>
  <si>
    <t>varies</t>
  </si>
  <si>
    <t>identifies 1 item</t>
  </si>
  <si>
    <t>easier resisted by higher AC</t>
  </si>
  <si>
    <t xml:space="preserve">        chance2 = 30;</t>
  </si>
  <si>
    <t xml:space="preserve">    if (chance &lt; 2)</t>
  </si>
  <si>
    <t xml:space="preserve">        chance2 = 28;</t>
  </si>
  <si>
    <t xml:space="preserve">    if (chance &lt; -7)</t>
  </si>
  <si>
    <t xml:space="preserve">        chance2 = 26;</t>
  </si>
  <si>
    <t xml:space="preserve">    if (chance &lt; -12)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</si>
</sst>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0.0%"/>
  </numFmts>
  <fonts count="3">
    <font>
      <sz val="10"/>
      <name val="Arial"/>
      <family val="0"/>
    </font>
    <font>
      <b/>
      <sz val="10"/>
      <name val="Arial"/>
      <family val="2"/>
    </font>
    <font>
      <u val="single"/>
      <sz val="10"/>
      <color indexed="12"/>
      <name val="Arial"/>
      <family val="0"/>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1" fillId="0" borderId="0" xfId="0" applyFont="1" applyAlignment="1">
      <alignment/>
    </xf>
    <xf numFmtId="0" fontId="0" fillId="0" borderId="0" xfId="0" applyFont="1" applyAlignment="1">
      <alignment wrapText="1"/>
    </xf>
    <xf numFmtId="0" fontId="1" fillId="0" borderId="0" xfId="0" applyFont="1" applyAlignment="1">
      <alignment vertical="top"/>
    </xf>
    <xf numFmtId="0" fontId="0" fillId="0" borderId="0" xfId="0" applyAlignment="1">
      <alignment vertical="top"/>
    </xf>
    <xf numFmtId="0" fontId="0" fillId="0" borderId="0" xfId="0" applyNumberFormat="1" applyAlignment="1">
      <alignment vertical="top"/>
    </xf>
    <xf numFmtId="2" fontId="0" fillId="0" borderId="0" xfId="0" applyNumberFormat="1" applyAlignment="1">
      <alignment vertical="top"/>
    </xf>
    <xf numFmtId="0" fontId="1" fillId="0" borderId="0" xfId="0" applyNumberFormat="1" applyFont="1" applyAlignment="1">
      <alignment vertical="top"/>
    </xf>
    <xf numFmtId="2" fontId="1" fillId="0" borderId="0" xfId="0" applyNumberFormat="1" applyFont="1" applyAlignment="1">
      <alignment vertical="top"/>
    </xf>
    <xf numFmtId="0" fontId="0" fillId="0" borderId="0" xfId="0" applyFont="1" applyAlignment="1">
      <alignment vertical="top" wrapText="1"/>
    </xf>
    <xf numFmtId="0" fontId="0" fillId="0" borderId="0" xfId="0" applyAlignment="1" quotePrefix="1">
      <alignment vertical="top"/>
    </xf>
    <xf numFmtId="0" fontId="0" fillId="0" borderId="0" xfId="0" applyNumberFormat="1" applyAlignment="1">
      <alignment vertical="top" wrapText="1"/>
    </xf>
    <xf numFmtId="0" fontId="0" fillId="0" borderId="0" xfId="0" applyNumberFormat="1" applyFont="1" applyAlignment="1">
      <alignment vertical="top"/>
    </xf>
    <xf numFmtId="2" fontId="0" fillId="0" borderId="0" xfId="0" applyNumberFormat="1" applyAlignment="1" quotePrefix="1">
      <alignment vertical="top"/>
    </xf>
    <xf numFmtId="0" fontId="0" fillId="0" borderId="0" xfId="0" applyFont="1" applyAlignment="1">
      <alignment/>
    </xf>
    <xf numFmtId="0" fontId="0" fillId="2" borderId="0" xfId="0" applyFill="1" applyAlignment="1">
      <alignment/>
    </xf>
    <xf numFmtId="0" fontId="0" fillId="0" borderId="0" xfId="0" applyNumberFormat="1" applyAlignment="1">
      <alignment wrapText="1"/>
    </xf>
    <xf numFmtId="0" fontId="0" fillId="0" borderId="0" xfId="0" applyNumberFormat="1" applyAlignment="1">
      <alignment/>
    </xf>
    <xf numFmtId="0" fontId="0" fillId="0" borderId="0" xfId="0" applyNumberFormat="1" applyAlignment="1" quotePrefix="1">
      <alignment wrapText="1"/>
    </xf>
    <xf numFmtId="0" fontId="1" fillId="0" borderId="0" xfId="0" applyNumberFormat="1" applyFont="1" applyAlignment="1">
      <alignment wrapText="1"/>
    </xf>
    <xf numFmtId="0" fontId="1" fillId="0" borderId="0" xfId="0" applyNumberFormat="1" applyFont="1" applyAlignment="1">
      <alignment vertical="top" wrapText="1"/>
    </xf>
    <xf numFmtId="0" fontId="0" fillId="0" borderId="1" xfId="0" applyBorder="1" applyAlignment="1">
      <alignment/>
    </xf>
    <xf numFmtId="0" fontId="0" fillId="0" borderId="2" xfId="0" applyBorder="1" applyAlignment="1">
      <alignment/>
    </xf>
    <xf numFmtId="0" fontId="0" fillId="2" borderId="2" xfId="0" applyFill="1" applyBorder="1" applyAlignment="1">
      <alignment/>
    </xf>
    <xf numFmtId="0" fontId="0" fillId="0" borderId="3" xfId="0" applyBorder="1" applyAlignment="1">
      <alignment/>
    </xf>
    <xf numFmtId="1" fontId="1" fillId="0" borderId="0" xfId="0" applyNumberFormat="1" applyFont="1" applyAlignment="1">
      <alignment vertical="top"/>
    </xf>
    <xf numFmtId="1" fontId="0" fillId="0" borderId="0" xfId="0" applyNumberFormat="1" applyAlignment="1">
      <alignment vertical="top"/>
    </xf>
    <xf numFmtId="0" fontId="0" fillId="3" borderId="0" xfId="0" applyFill="1" applyAlignment="1">
      <alignment/>
    </xf>
    <xf numFmtId="0" fontId="0" fillId="0" borderId="0" xfId="0" applyFill="1" applyBorder="1" applyAlignment="1">
      <alignment vertical="top"/>
    </xf>
    <xf numFmtId="9" fontId="0" fillId="0" borderId="0" xfId="0" applyNumberFormat="1" applyAlignment="1">
      <alignment/>
    </xf>
    <xf numFmtId="49" fontId="0" fillId="0" borderId="0" xfId="0" applyNumberFormat="1" applyAlignment="1">
      <alignment/>
    </xf>
    <xf numFmtId="49" fontId="1" fillId="0" borderId="0" xfId="0" applyNumberFormat="1" applyFont="1" applyAlignment="1">
      <alignment/>
    </xf>
    <xf numFmtId="0" fontId="0" fillId="0" borderId="4" xfId="0" applyNumberFormat="1" applyBorder="1" applyAlignment="1">
      <alignment/>
    </xf>
    <xf numFmtId="165" fontId="0" fillId="0" borderId="0" xfId="0" applyNumberFormat="1" applyAlignment="1">
      <alignment/>
    </xf>
    <xf numFmtId="0" fontId="0" fillId="0" borderId="0" xfId="0" applyNumberFormat="1" applyAlignment="1" quotePrefix="1">
      <alignment vertical="top"/>
    </xf>
    <xf numFmtId="2" fontId="0" fillId="0" borderId="0" xfId="0" applyNumberFormat="1" applyAlignment="1">
      <alignment/>
    </xf>
    <xf numFmtId="2" fontId="1" fillId="0" borderId="0" xfId="0" applyNumberFormat="1" applyFont="1" applyAlignment="1">
      <alignment/>
    </xf>
    <xf numFmtId="0" fontId="0" fillId="0" borderId="0" xfId="0" applyNumberFormat="1" applyAlignment="1">
      <alignment/>
    </xf>
    <xf numFmtId="0" fontId="1" fillId="0" borderId="0" xfId="0" applyFont="1" applyAlignment="1">
      <alignment vertical="center"/>
    </xf>
    <xf numFmtId="0" fontId="0" fillId="0" borderId="0" xfId="0" applyAlignment="1">
      <alignment/>
    </xf>
    <xf numFmtId="16" fontId="0" fillId="0" borderId="0" xfId="0" applyNumberFormat="1" applyAlignment="1" quotePrefix="1">
      <alignment/>
    </xf>
    <xf numFmtId="17" fontId="0" fillId="0" borderId="0" xfId="0" applyNumberFormat="1" applyAlignment="1" quotePrefix="1">
      <alignment/>
    </xf>
    <xf numFmtId="0" fontId="0" fillId="0" borderId="0" xfId="0"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A85"/>
  <sheetViews>
    <sheetView tabSelected="1" workbookViewId="0" topLeftCell="A70">
      <selection activeCell="A86" sqref="A86"/>
    </sheetView>
  </sheetViews>
  <sheetFormatPr defaultColWidth="9.140625" defaultRowHeight="12.75"/>
  <cols>
    <col min="1" max="1" width="95.57421875" style="16" customWidth="1"/>
    <col min="2" max="16384" width="9.140625" style="17" customWidth="1"/>
  </cols>
  <sheetData>
    <row r="1" ht="25.5">
      <c r="A1" s="16" t="s">
        <v>1046</v>
      </c>
    </row>
    <row r="2" ht="12.75">
      <c r="A2" s="16" t="s">
        <v>1042</v>
      </c>
    </row>
    <row r="3" ht="12.75">
      <c r="A3" s="16" t="s">
        <v>180</v>
      </c>
    </row>
    <row r="5" ht="25.5">
      <c r="A5" s="16" t="s">
        <v>1051</v>
      </c>
    </row>
    <row r="6" ht="25.5">
      <c r="A6" s="16" t="s">
        <v>1050</v>
      </c>
    </row>
    <row r="9" ht="12.75">
      <c r="A9" s="19" t="s">
        <v>547</v>
      </c>
    </row>
    <row r="10" ht="12.75">
      <c r="A10" s="19" t="s">
        <v>541</v>
      </c>
    </row>
    <row r="11" ht="12.75">
      <c r="A11" s="19" t="s">
        <v>545</v>
      </c>
    </row>
    <row r="12" ht="12.75">
      <c r="A12" s="19" t="s">
        <v>542</v>
      </c>
    </row>
    <row r="13" ht="12.75">
      <c r="A13" s="19" t="s">
        <v>544</v>
      </c>
    </row>
    <row r="14" ht="12.75">
      <c r="A14" s="19" t="s">
        <v>543</v>
      </c>
    </row>
    <row r="17" ht="12.75">
      <c r="A17" s="19" t="s">
        <v>546</v>
      </c>
    </row>
    <row r="18" ht="25.5">
      <c r="A18" s="16" t="s">
        <v>1047</v>
      </c>
    </row>
    <row r="19" ht="12.75">
      <c r="A19" s="18"/>
    </row>
    <row r="20" ht="38.25">
      <c r="A20" s="16" t="s">
        <v>1049</v>
      </c>
    </row>
    <row r="21" ht="38.25">
      <c r="A21" s="16" t="s">
        <v>1052</v>
      </c>
    </row>
    <row r="22" ht="12.75">
      <c r="A22" s="16" t="s">
        <v>1088</v>
      </c>
    </row>
    <row r="23" ht="25.5">
      <c r="A23" s="16" t="s">
        <v>1089</v>
      </c>
    </row>
    <row r="26" ht="38.25">
      <c r="A26" s="16" t="s">
        <v>1060</v>
      </c>
    </row>
    <row r="27" spans="1:9" ht="12.75">
      <c r="A27" s="20" t="s">
        <v>1053</v>
      </c>
      <c r="C27" s="3"/>
      <c r="I27" s="3"/>
    </row>
    <row r="28" spans="1:3" ht="25.5">
      <c r="A28" s="20" t="s">
        <v>1063</v>
      </c>
      <c r="C28" s="3"/>
    </row>
    <row r="29" spans="1:3" ht="12.75">
      <c r="A29" s="20" t="s">
        <v>1057</v>
      </c>
      <c r="C29" s="3"/>
    </row>
    <row r="30" spans="1:3" ht="12.75">
      <c r="A30" s="20" t="s">
        <v>1058</v>
      </c>
      <c r="C30" s="3"/>
    </row>
    <row r="31" spans="1:3" ht="12.75">
      <c r="A31" s="20" t="s">
        <v>1059</v>
      </c>
      <c r="C31" s="3"/>
    </row>
    <row r="32" spans="1:3" ht="12.75">
      <c r="A32" s="20" t="s">
        <v>313</v>
      </c>
      <c r="C32" s="3"/>
    </row>
    <row r="33" spans="1:3" ht="25.5">
      <c r="A33" s="20" t="s">
        <v>1061</v>
      </c>
      <c r="C33" s="3"/>
    </row>
    <row r="34" spans="1:27" ht="12.75">
      <c r="A34" s="20" t="s">
        <v>312</v>
      </c>
      <c r="B34" s="3"/>
      <c r="C34" s="3"/>
      <c r="D34" s="3"/>
      <c r="E34" s="3"/>
      <c r="F34" s="7"/>
      <c r="G34" s="7"/>
      <c r="H34" s="7"/>
      <c r="I34" s="8"/>
      <c r="J34" s="7"/>
      <c r="K34" s="7"/>
      <c r="L34" s="8"/>
      <c r="M34" s="3"/>
      <c r="N34" s="3"/>
      <c r="O34" s="3"/>
      <c r="P34" s="3"/>
      <c r="Q34" s="3"/>
      <c r="R34" s="3"/>
      <c r="S34" s="3"/>
      <c r="T34" s="3"/>
      <c r="U34" s="3"/>
      <c r="V34" s="3"/>
      <c r="W34" s="3"/>
      <c r="X34" s="3"/>
      <c r="Y34" s="3"/>
      <c r="Z34" s="3"/>
      <c r="AA34" s="3"/>
    </row>
    <row r="35" spans="1:3" ht="12.75">
      <c r="A35" s="20" t="s">
        <v>308</v>
      </c>
      <c r="C35" s="3"/>
    </row>
    <row r="36" spans="1:3" ht="12.75">
      <c r="A36" s="20" t="s">
        <v>307</v>
      </c>
      <c r="C36" s="3"/>
    </row>
    <row r="37" spans="1:3" ht="12.75">
      <c r="A37" s="20" t="s">
        <v>310</v>
      </c>
      <c r="C37" s="3"/>
    </row>
    <row r="38" spans="1:3" ht="12.75">
      <c r="A38" s="20" t="s">
        <v>311</v>
      </c>
      <c r="C38" s="3"/>
    </row>
    <row r="39" ht="12.75">
      <c r="A39" s="20" t="s">
        <v>285</v>
      </c>
    </row>
    <row r="40" spans="1:3" ht="12.75">
      <c r="A40" s="20" t="s">
        <v>286</v>
      </c>
      <c r="C40" s="7"/>
    </row>
    <row r="41" spans="1:3" ht="12.75">
      <c r="A41" s="20" t="s">
        <v>1100</v>
      </c>
      <c r="C41" s="7"/>
    </row>
    <row r="42" spans="1:3" ht="12.75">
      <c r="A42" s="20" t="s">
        <v>315</v>
      </c>
      <c r="C42" s="7"/>
    </row>
    <row r="43" spans="1:3" ht="25.5">
      <c r="A43" s="20" t="s">
        <v>1062</v>
      </c>
      <c r="C43" s="8"/>
    </row>
    <row r="44" spans="1:3" ht="12.75">
      <c r="A44" s="20" t="s">
        <v>1065</v>
      </c>
      <c r="C44" s="7"/>
    </row>
    <row r="45" spans="1:3" ht="12.75">
      <c r="A45" s="20" t="s">
        <v>1066</v>
      </c>
      <c r="C45" s="7"/>
    </row>
    <row r="46" spans="1:3" ht="38.25">
      <c r="A46" s="20" t="s">
        <v>548</v>
      </c>
      <c r="C46" s="7"/>
    </row>
    <row r="47" spans="1:3" ht="25.5">
      <c r="A47" s="20" t="s">
        <v>549</v>
      </c>
      <c r="C47" s="7"/>
    </row>
    <row r="48" spans="1:3" ht="38.25">
      <c r="A48" s="20" t="s">
        <v>600</v>
      </c>
      <c r="C48" s="8"/>
    </row>
    <row r="49" spans="1:3" ht="12.75">
      <c r="A49" s="20" t="s">
        <v>1067</v>
      </c>
      <c r="C49" s="3"/>
    </row>
    <row r="50" spans="1:3" ht="12.75">
      <c r="A50" s="20" t="s">
        <v>1068</v>
      </c>
      <c r="C50" s="3"/>
    </row>
    <row r="51" spans="1:3" ht="38.25">
      <c r="A51" s="20" t="s">
        <v>299</v>
      </c>
      <c r="C51" s="3"/>
    </row>
    <row r="52" spans="1:3" ht="12.75">
      <c r="A52" s="20" t="s">
        <v>1069</v>
      </c>
      <c r="C52" s="3"/>
    </row>
    <row r="53" spans="1:3" ht="12.75">
      <c r="A53" s="20" t="s">
        <v>1070</v>
      </c>
      <c r="C53" s="3"/>
    </row>
    <row r="54" spans="1:3" ht="12.75">
      <c r="A54" s="20" t="s">
        <v>1071</v>
      </c>
      <c r="C54" s="3"/>
    </row>
    <row r="55" spans="1:3" ht="12.75">
      <c r="A55" s="20" t="s">
        <v>1072</v>
      </c>
      <c r="C55" s="3"/>
    </row>
    <row r="56" spans="1:3" ht="12.75">
      <c r="A56" s="20" t="s">
        <v>1073</v>
      </c>
      <c r="C56" s="3"/>
    </row>
    <row r="57" spans="1:3" ht="12.75">
      <c r="A57" s="20" t="s">
        <v>1074</v>
      </c>
      <c r="C57" s="3"/>
    </row>
    <row r="58" spans="1:3" ht="12.75">
      <c r="A58" s="20" t="s">
        <v>1075</v>
      </c>
      <c r="C58" s="3"/>
    </row>
    <row r="59" ht="25.5">
      <c r="A59" s="20" t="s">
        <v>287</v>
      </c>
    </row>
    <row r="60" spans="1:3" ht="12.75">
      <c r="A60" s="20" t="s">
        <v>1082</v>
      </c>
      <c r="C60" s="3"/>
    </row>
    <row r="61" spans="1:3" ht="12.75">
      <c r="A61" s="20" t="s">
        <v>1083</v>
      </c>
      <c r="C61" s="3"/>
    </row>
    <row r="62" spans="1:3" ht="12.75">
      <c r="A62" s="20" t="s">
        <v>1084</v>
      </c>
      <c r="C62" s="3"/>
    </row>
    <row r="63" spans="1:3" ht="12.75">
      <c r="A63" s="20" t="s">
        <v>1085</v>
      </c>
      <c r="C63" s="3"/>
    </row>
    <row r="64" spans="1:3" ht="12.75">
      <c r="A64" s="20" t="s">
        <v>1086</v>
      </c>
      <c r="C64" s="3"/>
    </row>
    <row r="65" spans="1:3" ht="12.75">
      <c r="A65" s="20" t="s">
        <v>1087</v>
      </c>
      <c r="C65" s="3"/>
    </row>
    <row r="66" spans="1:3" ht="12.75">
      <c r="A66" s="20" t="s">
        <v>29</v>
      </c>
      <c r="C66" s="25"/>
    </row>
    <row r="67" spans="1:3" ht="38.25">
      <c r="A67" s="20" t="s">
        <v>234</v>
      </c>
      <c r="C67" s="3"/>
    </row>
    <row r="68" spans="1:3" ht="12.75">
      <c r="A68" s="20" t="s">
        <v>235</v>
      </c>
      <c r="C68" s="3"/>
    </row>
    <row r="69" spans="1:3" ht="12.75">
      <c r="A69" s="20" t="s">
        <v>314</v>
      </c>
      <c r="C69" s="3"/>
    </row>
    <row r="70" ht="12.75">
      <c r="C70" s="3"/>
    </row>
    <row r="72" ht="38.25">
      <c r="A72" s="16" t="s">
        <v>283</v>
      </c>
    </row>
    <row r="75" ht="38.25">
      <c r="A75" s="16" t="s">
        <v>284</v>
      </c>
    </row>
    <row r="78" ht="51">
      <c r="A78" s="16" t="s">
        <v>289</v>
      </c>
    </row>
    <row r="81" ht="12.75">
      <c r="A81" s="19" t="s">
        <v>1043</v>
      </c>
    </row>
    <row r="82" ht="38.25">
      <c r="A82" s="16" t="s">
        <v>1064</v>
      </c>
    </row>
    <row r="83" ht="12.75">
      <c r="A83" s="16" t="s">
        <v>1044</v>
      </c>
    </row>
    <row r="85" ht="25.5">
      <c r="A85" s="16" t="s">
        <v>181</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F42"/>
  <sheetViews>
    <sheetView workbookViewId="0" topLeftCell="A1">
      <selection activeCell="B25" sqref="B25"/>
    </sheetView>
  </sheetViews>
  <sheetFormatPr defaultColWidth="9.140625" defaultRowHeight="12.75"/>
  <cols>
    <col min="1" max="1" width="20.140625" style="0" customWidth="1"/>
    <col min="3" max="3" width="16.8515625" style="0" hidden="1" customWidth="1"/>
    <col min="5" max="5" width="19.8515625" style="0" customWidth="1"/>
    <col min="6" max="6" width="5.28125" style="0" customWidth="1"/>
    <col min="7" max="7" width="5.8515625" style="0" customWidth="1"/>
  </cols>
  <sheetData>
    <row r="2" spans="1:5" ht="12.75">
      <c r="A2" s="1" t="s">
        <v>698</v>
      </c>
      <c r="B2" s="1" t="s">
        <v>703</v>
      </c>
      <c r="C2" s="1" t="s">
        <v>300</v>
      </c>
      <c r="E2" s="1" t="s">
        <v>31</v>
      </c>
    </row>
    <row r="3" spans="1:6" ht="12.75">
      <c r="A3" t="s">
        <v>699</v>
      </c>
      <c r="B3" s="21">
        <v>1</v>
      </c>
      <c r="C3" s="42"/>
      <c r="E3" s="27" t="s">
        <v>32</v>
      </c>
      <c r="F3" s="27">
        <f>IF(CharLevel&gt;9,9,CharLevel)</f>
        <v>9</v>
      </c>
    </row>
    <row r="4" spans="1:6" ht="12.75">
      <c r="A4" t="s">
        <v>589</v>
      </c>
      <c r="B4" s="22">
        <v>6</v>
      </c>
      <c r="C4" s="42"/>
      <c r="E4" s="27"/>
      <c r="F4" s="27"/>
    </row>
    <row r="5" spans="1:6" ht="12.75">
      <c r="A5" t="s">
        <v>528</v>
      </c>
      <c r="B5" s="22">
        <v>1</v>
      </c>
      <c r="C5" s="42"/>
      <c r="E5" s="27"/>
      <c r="F5" s="27"/>
    </row>
    <row r="6" spans="1:6" ht="12.75">
      <c r="A6" t="s">
        <v>374</v>
      </c>
      <c r="B6" s="22">
        <v>1</v>
      </c>
      <c r="C6" s="42" t="s">
        <v>373</v>
      </c>
      <c r="E6" s="27" t="s">
        <v>33</v>
      </c>
      <c r="F6" s="27">
        <f>(CharLevel-1)+(2*Spellcasting)</f>
        <v>18</v>
      </c>
    </row>
    <row r="7" spans="1:3" ht="12.75">
      <c r="A7" t="s">
        <v>361</v>
      </c>
      <c r="B7" s="22">
        <v>1</v>
      </c>
      <c r="C7" s="42"/>
    </row>
    <row r="8" spans="1:3" ht="12.75">
      <c r="A8" t="s">
        <v>458</v>
      </c>
      <c r="B8" s="22">
        <v>1</v>
      </c>
      <c r="C8" s="42"/>
    </row>
    <row r="9" spans="1:5" ht="12.75">
      <c r="A9" t="s">
        <v>373</v>
      </c>
      <c r="B9" s="22">
        <v>1</v>
      </c>
      <c r="C9" s="42" t="s">
        <v>374</v>
      </c>
      <c r="E9" s="1" t="s">
        <v>529</v>
      </c>
    </row>
    <row r="10" spans="1:6" ht="12.75">
      <c r="A10" t="s">
        <v>359</v>
      </c>
      <c r="B10" s="22">
        <v>1</v>
      </c>
      <c r="C10" s="42"/>
      <c r="E10" s="27" t="s">
        <v>530</v>
      </c>
      <c r="F10" s="27">
        <f>5+CharacterProperties!$B$5+2*(CharacterProperties!$B$5+1)/2</f>
        <v>8</v>
      </c>
    </row>
    <row r="11" spans="1:3" ht="12.75">
      <c r="A11" t="s">
        <v>364</v>
      </c>
      <c r="B11" s="22">
        <v>1</v>
      </c>
      <c r="C11" s="42" t="s">
        <v>367</v>
      </c>
    </row>
    <row r="12" spans="1:3" ht="12.75">
      <c r="A12" t="s">
        <v>367</v>
      </c>
      <c r="B12" s="22">
        <v>1</v>
      </c>
      <c r="C12" s="42" t="s">
        <v>364</v>
      </c>
    </row>
    <row r="13" spans="1:3" ht="12.75">
      <c r="A13" t="s">
        <v>371</v>
      </c>
      <c r="B13" s="22">
        <v>1</v>
      </c>
      <c r="C13" s="42"/>
    </row>
    <row r="14" spans="1:3" ht="12.75">
      <c r="A14" t="s">
        <v>420</v>
      </c>
      <c r="B14" s="22">
        <v>1</v>
      </c>
      <c r="C14" s="42"/>
    </row>
    <row r="15" spans="1:5" ht="12.75">
      <c r="A15" t="s">
        <v>477</v>
      </c>
      <c r="B15" s="22">
        <v>1</v>
      </c>
      <c r="C15" s="42"/>
      <c r="E15" s="1" t="s">
        <v>56</v>
      </c>
    </row>
    <row r="16" spans="1:6" ht="12.75">
      <c r="A16" t="s">
        <v>383</v>
      </c>
      <c r="B16" s="22">
        <v>1</v>
      </c>
      <c r="C16" s="42"/>
      <c r="E16" s="27" t="s">
        <v>52</v>
      </c>
      <c r="F16" s="27"/>
    </row>
    <row r="17" spans="1:6" ht="12.75">
      <c r="A17" t="s">
        <v>391</v>
      </c>
      <c r="B17" s="24">
        <v>1</v>
      </c>
      <c r="C17" s="42"/>
      <c r="E17" s="27" t="s">
        <v>53</v>
      </c>
      <c r="F17" s="27"/>
    </row>
    <row r="18" spans="5:6" ht="12.75">
      <c r="E18" s="27" t="s">
        <v>54</v>
      </c>
      <c r="F18" s="27"/>
    </row>
    <row r="19" spans="1:6" ht="12.75">
      <c r="A19" s="1" t="s">
        <v>700</v>
      </c>
      <c r="E19" s="27" t="s">
        <v>55</v>
      </c>
      <c r="F19" s="27"/>
    </row>
    <row r="20" spans="1:6" ht="12.75">
      <c r="A20" s="14" t="s">
        <v>1040</v>
      </c>
      <c r="B20" s="21">
        <v>17</v>
      </c>
      <c r="C20" s="42"/>
      <c r="E20" s="27"/>
      <c r="F20" s="27"/>
    </row>
    <row r="21" spans="1:6" ht="12.75">
      <c r="A21" t="s">
        <v>701</v>
      </c>
      <c r="B21" s="22">
        <v>14</v>
      </c>
      <c r="C21" s="42"/>
      <c r="E21" s="27" t="s">
        <v>1145</v>
      </c>
      <c r="F21" s="27">
        <v>27</v>
      </c>
    </row>
    <row r="22" spans="1:3" ht="12.75">
      <c r="A22" t="s">
        <v>1037</v>
      </c>
      <c r="B22" s="22">
        <v>1</v>
      </c>
      <c r="C22" s="42"/>
    </row>
    <row r="23" spans="1:3" ht="12.75">
      <c r="A23" t="s">
        <v>1038</v>
      </c>
      <c r="B23" s="22">
        <v>1</v>
      </c>
      <c r="C23" s="42"/>
    </row>
    <row r="24" spans="1:3" ht="12.75">
      <c r="A24" t="s">
        <v>1039</v>
      </c>
      <c r="B24" s="24">
        <v>1</v>
      </c>
      <c r="C24" s="42"/>
    </row>
    <row r="26" spans="1:3" ht="12.75">
      <c r="A26" s="1" t="s">
        <v>970</v>
      </c>
      <c r="B26" s="1"/>
      <c r="C26" s="1"/>
    </row>
    <row r="27" spans="1:3" ht="12.75">
      <c r="A27" t="s">
        <v>589</v>
      </c>
      <c r="B27" s="21">
        <v>0</v>
      </c>
      <c r="C27" s="42"/>
    </row>
    <row r="28" spans="1:3" ht="12.75">
      <c r="A28" t="s">
        <v>528</v>
      </c>
      <c r="B28" s="22">
        <v>0</v>
      </c>
      <c r="C28" s="42"/>
    </row>
    <row r="29" spans="1:3" ht="12.75">
      <c r="A29" t="s">
        <v>374</v>
      </c>
      <c r="B29" s="22">
        <v>0</v>
      </c>
      <c r="C29" s="42"/>
    </row>
    <row r="30" spans="1:3" ht="12.75">
      <c r="A30" t="s">
        <v>361</v>
      </c>
      <c r="B30" s="22">
        <v>0</v>
      </c>
      <c r="C30" s="42"/>
    </row>
    <row r="31" spans="1:3" ht="12.75">
      <c r="A31" t="s">
        <v>458</v>
      </c>
      <c r="B31" s="22">
        <v>0</v>
      </c>
      <c r="C31" s="42"/>
    </row>
    <row r="32" spans="1:3" ht="12.75">
      <c r="A32" t="s">
        <v>373</v>
      </c>
      <c r="B32" s="22">
        <v>0</v>
      </c>
      <c r="C32" s="42"/>
    </row>
    <row r="33" spans="1:3" ht="12.75">
      <c r="A33" t="s">
        <v>359</v>
      </c>
      <c r="B33" s="22">
        <v>0</v>
      </c>
      <c r="C33" s="42"/>
    </row>
    <row r="34" spans="1:3" ht="12.75">
      <c r="A34" t="s">
        <v>364</v>
      </c>
      <c r="B34" s="22">
        <v>0</v>
      </c>
      <c r="C34" s="42"/>
    </row>
    <row r="35" spans="1:3" ht="12.75">
      <c r="A35" t="s">
        <v>874</v>
      </c>
      <c r="B35" s="22">
        <v>0</v>
      </c>
      <c r="C35" s="42"/>
    </row>
    <row r="36" spans="1:3" ht="12.75">
      <c r="A36" t="s">
        <v>367</v>
      </c>
      <c r="B36" s="22">
        <v>0</v>
      </c>
      <c r="C36" s="42"/>
    </row>
    <row r="37" spans="1:3" ht="12.75">
      <c r="A37" t="s">
        <v>371</v>
      </c>
      <c r="B37" s="22">
        <v>0</v>
      </c>
      <c r="C37" s="42"/>
    </row>
    <row r="38" spans="1:3" ht="12.75">
      <c r="A38" t="s">
        <v>420</v>
      </c>
      <c r="B38" s="22">
        <v>0</v>
      </c>
      <c r="C38" s="42"/>
    </row>
    <row r="39" spans="1:3" ht="12.75">
      <c r="A39" t="s">
        <v>477</v>
      </c>
      <c r="B39" s="22">
        <v>0</v>
      </c>
      <c r="C39" s="42"/>
    </row>
    <row r="40" spans="1:3" ht="12.75">
      <c r="A40" t="s">
        <v>383</v>
      </c>
      <c r="B40" s="22">
        <v>0</v>
      </c>
      <c r="C40" s="42"/>
    </row>
    <row r="41" spans="1:3" ht="12.75">
      <c r="A41" t="s">
        <v>391</v>
      </c>
      <c r="B41" s="24">
        <v>0</v>
      </c>
      <c r="C41" s="42"/>
    </row>
    <row r="42" ht="12.75">
      <c r="A42" t="s">
        <v>531</v>
      </c>
    </row>
  </sheetData>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O172"/>
  <sheetViews>
    <sheetView workbookViewId="0" topLeftCell="A1">
      <pane xSplit="1" ySplit="1" topLeftCell="B2" activePane="bottomRight" state="frozen"/>
      <selection pane="topLeft" activeCell="T65502" sqref="T65502"/>
      <selection pane="topRight" activeCell="T65502" sqref="T65502"/>
      <selection pane="bottomLeft" activeCell="T65502" sqref="T65502"/>
      <selection pane="bottomRight" activeCell="A2" sqref="A2"/>
    </sheetView>
  </sheetViews>
  <sheetFormatPr defaultColWidth="9.140625" defaultRowHeight="12.75"/>
  <cols>
    <col min="1" max="1" width="19.57421875" style="0" bestFit="1" customWidth="1"/>
    <col min="2" max="2" width="8.00390625" style="0" bestFit="1" customWidth="1"/>
    <col min="3" max="3" width="8.421875" style="0" customWidth="1"/>
    <col min="4" max="9" width="19.140625" style="0" customWidth="1"/>
    <col min="10" max="10" width="13.28125" style="0" customWidth="1"/>
    <col min="12" max="12" width="4.28125" style="0" customWidth="1"/>
    <col min="13" max="20" width="7.140625" style="0" hidden="1" customWidth="1"/>
    <col min="21" max="21" width="2.28125" style="0" hidden="1" customWidth="1"/>
    <col min="22" max="23" width="5.140625" style="0" hidden="1" customWidth="1"/>
    <col min="24" max="24" width="9.140625" style="0" hidden="1" customWidth="1"/>
  </cols>
  <sheetData>
    <row r="1" spans="1:24" ht="12.75">
      <c r="A1" s="1" t="s">
        <v>1045</v>
      </c>
      <c r="B1" s="1" t="s">
        <v>1041</v>
      </c>
      <c r="C1" s="1" t="s">
        <v>57</v>
      </c>
      <c r="D1" s="1" t="s">
        <v>40</v>
      </c>
      <c r="E1" s="1" t="s">
        <v>41</v>
      </c>
      <c r="F1" s="1" t="s">
        <v>42</v>
      </c>
      <c r="G1" s="1" t="s">
        <v>43</v>
      </c>
      <c r="H1" s="1" t="s">
        <v>44</v>
      </c>
      <c r="I1" s="1" t="s">
        <v>45</v>
      </c>
      <c r="J1" s="1" t="s">
        <v>46</v>
      </c>
      <c r="K1" s="1" t="s">
        <v>47</v>
      </c>
      <c r="M1" s="1" t="s">
        <v>272</v>
      </c>
      <c r="N1" s="1" t="s">
        <v>273</v>
      </c>
      <c r="O1" s="1" t="s">
        <v>274</v>
      </c>
      <c r="P1" s="1" t="s">
        <v>275</v>
      </c>
      <c r="Q1" s="1" t="s">
        <v>276</v>
      </c>
      <c r="R1" s="1" t="s">
        <v>277</v>
      </c>
      <c r="S1" s="1" t="s">
        <v>278</v>
      </c>
      <c r="T1" s="1" t="s">
        <v>279</v>
      </c>
      <c r="V1" s="1" t="s">
        <v>280</v>
      </c>
      <c r="W1" s="1" t="s">
        <v>281</v>
      </c>
      <c r="X1" s="1" t="s">
        <v>282</v>
      </c>
    </row>
    <row r="2" spans="1:41" s="1" customFormat="1" ht="12.75">
      <c r="A2" t="s">
        <v>374</v>
      </c>
      <c r="B2" s="21"/>
      <c r="C2">
        <v>4</v>
      </c>
      <c r="D2" t="s">
        <v>488</v>
      </c>
      <c r="E2" t="s">
        <v>567</v>
      </c>
      <c r="F2" t="s">
        <v>480</v>
      </c>
      <c r="G2" t="s">
        <v>454</v>
      </c>
      <c r="H2" t="s">
        <v>461</v>
      </c>
      <c r="I2" s="4" t="s">
        <v>493</v>
      </c>
      <c r="J2"/>
      <c r="K2"/>
      <c r="M2" s="14">
        <f ca="1">IF(ISBLANK(D2),"",MATCH($A2,OFFSET(SpellProperties!$AI$1:$AN$1,MATCH(D2,SpellProperties!$A$2:$A$165,0),0),0))</f>
        <v>1</v>
      </c>
      <c r="N2" s="14">
        <f ca="1">IF(ISBLANK(E2),"",MATCH($A2,OFFSET(SpellProperties!$AI$1:$AN$1,MATCH(E2,SpellProperties!$A$2:$A$165,0),0),0))</f>
        <v>1</v>
      </c>
      <c r="O2" s="14">
        <f ca="1">IF(ISBLANK(F2),"",MATCH($A2,OFFSET(SpellProperties!$AI$1:$AN$1,MATCH(F2,SpellProperties!$A$2:$A$165,0),0),0))</f>
        <v>3</v>
      </c>
      <c r="P2" s="14">
        <f ca="1">IF(ISBLANK(G2),"",MATCH($A2,OFFSET(SpellProperties!$AI$1:$AN$1,MATCH(G2,SpellProperties!$A$2:$A$165,0),0),0))</f>
        <v>2</v>
      </c>
      <c r="Q2" s="14">
        <f ca="1">IF(ISBLANK(H2),"",MATCH($A2,OFFSET(SpellProperties!$AI$1:$AN$1,MATCH(H2,SpellProperties!$A$2:$A$165,0),0),0))</f>
        <v>5</v>
      </c>
      <c r="R2" s="14">
        <f ca="1">IF(ISBLANK(I2),"",MATCH($A2,OFFSET(SpellProperties!$AI$1:$AN$1,MATCH(I2,SpellProperties!$A$2:$A$165,0),0),0))</f>
        <v>3</v>
      </c>
      <c r="S2" s="14">
        <f ca="1">IF(ISBLANK(J2),"",MATCH($A2,OFFSET(SpellProperties!$AI$1:$AN$1,MATCH(J2,SpellProperties!$A$2:$A$165,0),0),0))</f>
      </c>
      <c r="T2" s="14">
        <f ca="1">IF(ISBLANK(K2),"",MATCH($A2,OFFSET(SpellProperties!$AI$1:$AN$1,MATCH(K2,SpellProperties!$A$2:$A$165,0),0),0))</f>
      </c>
      <c r="V2" s="14">
        <f>COUNTIF(SpellProperties!$AI$2:$AN$165,$A2)</f>
        <v>6</v>
      </c>
      <c r="W2" s="14">
        <f>COUNTA(D2:K2)</f>
        <v>6</v>
      </c>
      <c r="X2" s="14" t="b">
        <f>AND((V2=W2),NOT(ISERROR(SUM(M2:T2))))</f>
        <v>1</v>
      </c>
      <c r="AO2" s="1">
        <f>IF(AN2&lt;45,42*(AN2+180)/225,AN2)</f>
        <v>33.6</v>
      </c>
    </row>
    <row r="3" spans="1:41" ht="12.75">
      <c r="A3" t="s">
        <v>646</v>
      </c>
      <c r="B3" s="22">
        <v>1</v>
      </c>
      <c r="C3">
        <v>20</v>
      </c>
      <c r="D3" s="4" t="s">
        <v>450</v>
      </c>
      <c r="E3" t="s">
        <v>922</v>
      </c>
      <c r="F3" t="s">
        <v>925</v>
      </c>
      <c r="G3" s="4" t="s">
        <v>452</v>
      </c>
      <c r="H3" t="s">
        <v>445</v>
      </c>
      <c r="I3" t="s">
        <v>435</v>
      </c>
      <c r="M3" s="14">
        <f ca="1">IF(ISBLANK(D3),"",MATCH($A3,OFFSET(SpellProperties!$AI$1:$AN$1,MATCH(D3,SpellProperties!$A$2:$A$165,0),0),0))</f>
        <v>1</v>
      </c>
      <c r="N3" s="14">
        <f ca="1">IF(ISBLANK(E3),"",MATCH($A3,OFFSET(SpellProperties!$AI$1:$AN$1,MATCH(E3,SpellProperties!$A$2:$A$165,0),0),0))</f>
        <v>1</v>
      </c>
      <c r="O3" s="14">
        <f ca="1">IF(ISBLANK(F3),"",MATCH($A3,OFFSET(SpellProperties!$AI$1:$AN$1,MATCH(F3,SpellProperties!$A$2:$A$165,0),0),0))</f>
        <v>1</v>
      </c>
      <c r="P3" s="14">
        <f ca="1">IF(ISBLANK(G3),"",MATCH($A3,OFFSET(SpellProperties!$AI$1:$AN$1,MATCH(G3,SpellProperties!$A$2:$A$165,0),0),0))</f>
        <v>1</v>
      </c>
      <c r="Q3" s="14">
        <f ca="1">IF(ISBLANK(H3),"",MATCH($A3,OFFSET(SpellProperties!$AI$1:$AN$1,MATCH(H3,SpellProperties!$A$2:$A$165,0),0),0))</f>
        <v>1</v>
      </c>
      <c r="R3" s="14">
        <f ca="1">IF(ISBLANK(I3),"",MATCH($A3,OFFSET(SpellProperties!$AI$1:$AN$1,MATCH(I3,SpellProperties!$A$2:$A$165,0),0),0))</f>
        <v>1</v>
      </c>
      <c r="S3" s="14">
        <f ca="1">IF(ISBLANK(J3),"",MATCH($A3,OFFSET(SpellProperties!$AI$1:$AN$1,MATCH(J3,SpellProperties!$A$2:$A$165,0),0),0))</f>
      </c>
      <c r="T3" s="14">
        <f ca="1">IF(ISBLANK(K3),"",MATCH($A3,OFFSET(SpellProperties!$AI$1:$AN$1,MATCH(K3,SpellProperties!$A$2:$A$165,0),0),0))</f>
      </c>
      <c r="V3" s="14">
        <f>COUNTIF(SpellProperties!$AI$2:$AN$165,$A3)</f>
        <v>6</v>
      </c>
      <c r="W3" s="14">
        <f aca="true" t="shared" si="0" ref="W3:W49">COUNTA(D3:K3)</f>
        <v>6</v>
      </c>
      <c r="X3" s="14" t="b">
        <f aca="true" t="shared" si="1" ref="X3:X49">AND((V3=W3),NOT(ISERROR(SUM(M3:T3))))</f>
        <v>1</v>
      </c>
      <c r="AN3" s="1"/>
      <c r="AO3" s="1">
        <f aca="true" t="shared" si="2" ref="AO3:AO66">IF(AN3&lt;45,42*(AN3+180)/225,AN3)</f>
        <v>33.6</v>
      </c>
    </row>
    <row r="4" spans="1:41" ht="12.75">
      <c r="A4" t="s">
        <v>1048</v>
      </c>
      <c r="B4" s="22">
        <v>1</v>
      </c>
      <c r="C4">
        <v>12</v>
      </c>
      <c r="D4" t="s">
        <v>564</v>
      </c>
      <c r="E4" t="s">
        <v>551</v>
      </c>
      <c r="F4" t="s">
        <v>377</v>
      </c>
      <c r="G4" t="s">
        <v>415</v>
      </c>
      <c r="H4" t="s">
        <v>569</v>
      </c>
      <c r="I4" t="s">
        <v>397</v>
      </c>
      <c r="M4" s="14">
        <f ca="1">IF(ISBLANK(D4),"",MATCH($A4,OFFSET(SpellProperties!$AI$1:$AN$1,MATCH(D4,SpellProperties!$A$2:$A$165,0),0),0))</f>
        <v>5</v>
      </c>
      <c r="N4" s="14">
        <f ca="1">IF(ISBLANK(E4),"",MATCH($A4,OFFSET(SpellProperties!$AI$1:$AN$1,MATCH(E4,SpellProperties!$A$2:$A$165,0),0),0))</f>
        <v>4</v>
      </c>
      <c r="O4" s="14">
        <f ca="1">IF(ISBLANK(F4),"",MATCH($A4,OFFSET(SpellProperties!$AI$1:$AN$1,MATCH(F4,SpellProperties!$A$2:$A$165,0),0),0))</f>
        <v>3</v>
      </c>
      <c r="P4" s="14">
        <f ca="1">IF(ISBLANK(G4),"",MATCH($A4,OFFSET(SpellProperties!$AI$1:$AN$1,MATCH(G4,SpellProperties!$A$2:$A$165,0),0),0))</f>
        <v>3</v>
      </c>
      <c r="Q4" s="14">
        <f ca="1">IF(ISBLANK(H4),"",MATCH($A4,OFFSET(SpellProperties!$AI$1:$AN$1,MATCH(H4,SpellProperties!$A$2:$A$165,0),0),0))</f>
        <v>2</v>
      </c>
      <c r="R4" s="14">
        <f ca="1">IF(ISBLANK(I4),"",MATCH($A4,OFFSET(SpellProperties!$AI$1:$AN$1,MATCH(I4,SpellProperties!$A$2:$A$165,0),0),0))</f>
        <v>2</v>
      </c>
      <c r="S4" s="14">
        <f ca="1">IF(ISBLANK(J4),"",MATCH($A4,OFFSET(SpellProperties!$AI$1:$AN$1,MATCH(J4,SpellProperties!$A$2:$A$165,0),0),0))</f>
      </c>
      <c r="T4" s="14">
        <f ca="1">IF(ISBLANK(K4),"",MATCH($A4,OFFSET(SpellProperties!$AI$1:$AN$1,MATCH(K4,SpellProperties!$A$2:$A$165,0),0),0))</f>
      </c>
      <c r="V4" s="14">
        <f>COUNTIF(SpellProperties!$AI$2:$AN$165,$A4)</f>
        <v>6</v>
      </c>
      <c r="W4" s="14">
        <f t="shared" si="0"/>
        <v>6</v>
      </c>
      <c r="X4" s="14" t="b">
        <f t="shared" si="1"/>
        <v>1</v>
      </c>
      <c r="AN4" s="1"/>
      <c r="AO4" s="1">
        <f t="shared" si="2"/>
        <v>33.6</v>
      </c>
    </row>
    <row r="5" spans="1:41" ht="12.75">
      <c r="A5" t="s">
        <v>1019</v>
      </c>
      <c r="B5" s="22"/>
      <c r="C5">
        <v>3</v>
      </c>
      <c r="D5" t="s">
        <v>564</v>
      </c>
      <c r="E5" t="s">
        <v>551</v>
      </c>
      <c r="F5" t="s">
        <v>416</v>
      </c>
      <c r="G5" t="s">
        <v>559</v>
      </c>
      <c r="H5" t="s">
        <v>563</v>
      </c>
      <c r="I5" t="s">
        <v>562</v>
      </c>
      <c r="M5" s="14">
        <f ca="1">IF(ISBLANK(D5),"",MATCH($A5,OFFSET(SpellProperties!$AI$1:$AN$1,MATCH(D5,SpellProperties!$A$2:$A$165,0),0),0))</f>
        <v>3</v>
      </c>
      <c r="N5" s="14">
        <f ca="1">IF(ISBLANK(E5),"",MATCH($A5,OFFSET(SpellProperties!$AI$1:$AN$1,MATCH(E5,SpellProperties!$A$2:$A$165,0),0),0))</f>
        <v>3</v>
      </c>
      <c r="O5" s="14">
        <f ca="1">IF(ISBLANK(F5),"",MATCH($A5,OFFSET(SpellProperties!$AI$1:$AN$1,MATCH(F5,SpellProperties!$A$2:$A$165,0),0),0))</f>
        <v>1</v>
      </c>
      <c r="P5" s="14">
        <f ca="1">IF(ISBLANK(G5),"",MATCH($A5,OFFSET(SpellProperties!$AI$1:$AN$1,MATCH(G5,SpellProperties!$A$2:$A$165,0),0),0))</f>
        <v>2</v>
      </c>
      <c r="Q5" s="14">
        <f ca="1">IF(ISBLANK(H5),"",MATCH($A5,OFFSET(SpellProperties!$AI$1:$AN$1,MATCH(H5,SpellProperties!$A$2:$A$165,0),0),0))</f>
        <v>1</v>
      </c>
      <c r="R5" s="14">
        <f ca="1">IF(ISBLANK(I5),"",MATCH($A5,OFFSET(SpellProperties!$AI$1:$AN$1,MATCH(I5,SpellProperties!$A$2:$A$165,0),0),0))</f>
        <v>2</v>
      </c>
      <c r="S5" s="14">
        <f ca="1">IF(ISBLANK(J5),"",MATCH($A5,OFFSET(SpellProperties!$AI$1:$AN$1,MATCH(J5,SpellProperties!$A$2:$A$165,0),0),0))</f>
      </c>
      <c r="T5" s="14">
        <f ca="1">IF(ISBLANK(K5),"",MATCH($A5,OFFSET(SpellProperties!$AI$1:$AN$1,MATCH(K5,SpellProperties!$A$2:$A$165,0),0),0))</f>
      </c>
      <c r="V5" s="14">
        <f>COUNTIF(SpellProperties!$AI$2:$AN$165,$A5)</f>
        <v>6</v>
      </c>
      <c r="W5" s="14">
        <f t="shared" si="0"/>
        <v>6</v>
      </c>
      <c r="X5" s="14" t="b">
        <f t="shared" si="1"/>
        <v>1</v>
      </c>
      <c r="AN5" s="1"/>
      <c r="AO5" s="1">
        <f t="shared" si="2"/>
        <v>33.6</v>
      </c>
    </row>
    <row r="6" spans="1:41" ht="12.75">
      <c r="A6" t="s">
        <v>1022</v>
      </c>
      <c r="B6" s="22">
        <v>1</v>
      </c>
      <c r="C6">
        <v>1</v>
      </c>
      <c r="D6" t="s">
        <v>385</v>
      </c>
      <c r="E6" t="s">
        <v>401</v>
      </c>
      <c r="F6" s="4" t="s">
        <v>564</v>
      </c>
      <c r="G6" s="4" t="s">
        <v>376</v>
      </c>
      <c r="H6" t="s">
        <v>424</v>
      </c>
      <c r="M6" s="14">
        <f ca="1">IF(ISBLANK(D6),"",MATCH($A6,OFFSET(SpellProperties!$AI$1:$AN$1,MATCH(D6,SpellProperties!$A$2:$A$165,0),0),0))</f>
        <v>2</v>
      </c>
      <c r="N6" s="14">
        <f ca="1">IF(ISBLANK(E6),"",MATCH($A6,OFFSET(SpellProperties!$AI$1:$AN$1,MATCH(E6,SpellProperties!$A$2:$A$165,0),0),0))</f>
        <v>2</v>
      </c>
      <c r="O6" s="14">
        <f ca="1">IF(ISBLANK(F6),"",MATCH($A6,OFFSET(SpellProperties!$AI$1:$AN$1,MATCH(F6,SpellProperties!$A$2:$A$165,0),0),0))</f>
        <v>4</v>
      </c>
      <c r="P6" s="14">
        <f ca="1">IF(ISBLANK(G6),"",MATCH($A6,OFFSET(SpellProperties!$AI$1:$AN$1,MATCH(G6,SpellProperties!$A$2:$A$165,0),0),0))</f>
        <v>3</v>
      </c>
      <c r="Q6" s="14">
        <f ca="1">IF(ISBLANK(H6),"",MATCH($A6,OFFSET(SpellProperties!$AI$1:$AN$1,MATCH(H6,SpellProperties!$A$2:$A$165,0),0),0))</f>
        <v>2</v>
      </c>
      <c r="R6" s="14">
        <f ca="1">IF(ISBLANK(I6),"",MATCH($A6,OFFSET(SpellProperties!$AI$1:$AN$1,MATCH(I6,SpellProperties!$A$2:$A$165,0),0),0))</f>
      </c>
      <c r="S6" s="14">
        <f ca="1">IF(ISBLANK(J6),"",MATCH($A6,OFFSET(SpellProperties!$AI$1:$AN$1,MATCH(J6,SpellProperties!$A$2:$A$165,0),0),0))</f>
      </c>
      <c r="T6" s="14">
        <f ca="1">IF(ISBLANK(K6),"",MATCH($A6,OFFSET(SpellProperties!$AI$1:$AN$1,MATCH(K6,SpellProperties!$A$2:$A$165,0),0),0))</f>
      </c>
      <c r="V6" s="14">
        <f>COUNTIF(SpellProperties!$AI$2:$AN$165,$A6)</f>
        <v>5</v>
      </c>
      <c r="W6" s="14">
        <f t="shared" si="0"/>
        <v>5</v>
      </c>
      <c r="X6" s="14" t="b">
        <f t="shared" si="1"/>
        <v>1</v>
      </c>
      <c r="AN6" s="1"/>
      <c r="AO6" s="1">
        <f t="shared" si="2"/>
        <v>33.6</v>
      </c>
    </row>
    <row r="7" spans="1:41" ht="12.75">
      <c r="A7" t="s">
        <v>611</v>
      </c>
      <c r="B7" s="22">
        <v>1</v>
      </c>
      <c r="C7">
        <v>2</v>
      </c>
      <c r="D7" s="4" t="s">
        <v>921</v>
      </c>
      <c r="E7" t="s">
        <v>551</v>
      </c>
      <c r="F7" t="s">
        <v>432</v>
      </c>
      <c r="G7" t="s">
        <v>492</v>
      </c>
      <c r="H7" t="s">
        <v>612</v>
      </c>
      <c r="I7" t="s">
        <v>382</v>
      </c>
      <c r="J7" t="s">
        <v>421</v>
      </c>
      <c r="M7" s="14">
        <f ca="1">IF(ISBLANK(D7),"",MATCH($A7,OFFSET(SpellProperties!$AI$1:$AN$1,MATCH(D7,SpellProperties!$A$2:$A$165,0),0),0))</f>
        <v>1</v>
      </c>
      <c r="N7" s="14">
        <f ca="1">IF(ISBLANK(E7),"",MATCH($A7,OFFSET(SpellProperties!$AI$1:$AN$1,MATCH(E7,SpellProperties!$A$2:$A$165,0),0),0))</f>
        <v>2</v>
      </c>
      <c r="O7" s="14">
        <f ca="1">IF(ISBLANK(F7),"",MATCH($A7,OFFSET(SpellProperties!$AI$1:$AN$1,MATCH(F7,SpellProperties!$A$2:$A$165,0),0),0))</f>
        <v>2</v>
      </c>
      <c r="P7" s="14">
        <f ca="1">IF(ISBLANK(G7),"",MATCH($A7,OFFSET(SpellProperties!$AI$1:$AN$1,MATCH(G7,SpellProperties!$A$2:$A$165,0),0),0))</f>
        <v>1</v>
      </c>
      <c r="Q7" s="14">
        <f ca="1">IF(ISBLANK(H7),"",MATCH($A7,OFFSET(SpellProperties!$AI$1:$AN$1,MATCH(H7,SpellProperties!$A$2:$A$165,0),0),0))</f>
        <v>1</v>
      </c>
      <c r="R7" s="14">
        <f ca="1">IF(ISBLANK(I7),"",MATCH($A7,OFFSET(SpellProperties!$AI$1:$AN$1,MATCH(I7,SpellProperties!$A$2:$A$165,0),0),0))</f>
        <v>1</v>
      </c>
      <c r="S7" s="14">
        <f ca="1">IF(ISBLANK(J7),"",MATCH($A7,OFFSET(SpellProperties!$AI$1:$AN$1,MATCH(J7,SpellProperties!$A$2:$A$165,0),0),0))</f>
        <v>1</v>
      </c>
      <c r="T7" s="14">
        <f ca="1">IF(ISBLANK(K7),"",MATCH($A7,OFFSET(SpellProperties!$AI$1:$AN$1,MATCH(K7,SpellProperties!$A$2:$A$165,0),0),0))</f>
      </c>
      <c r="V7" s="14">
        <f>COUNTIF(SpellProperties!$AI$2:$AN$165,$A7)</f>
        <v>7</v>
      </c>
      <c r="W7" s="14">
        <f t="shared" si="0"/>
        <v>7</v>
      </c>
      <c r="X7" s="14" t="b">
        <f t="shared" si="1"/>
        <v>1</v>
      </c>
      <c r="AN7" s="1"/>
      <c r="AO7" s="1">
        <f t="shared" si="2"/>
        <v>33.6</v>
      </c>
    </row>
    <row r="8" spans="1:41" ht="12.75">
      <c r="A8" t="s">
        <v>626</v>
      </c>
      <c r="B8" s="22">
        <v>1</v>
      </c>
      <c r="C8">
        <v>2</v>
      </c>
      <c r="D8" t="s">
        <v>386</v>
      </c>
      <c r="E8" t="s">
        <v>480</v>
      </c>
      <c r="F8" s="4" t="s">
        <v>387</v>
      </c>
      <c r="G8" t="s">
        <v>489</v>
      </c>
      <c r="H8" t="s">
        <v>389</v>
      </c>
      <c r="I8" t="s">
        <v>392</v>
      </c>
      <c r="J8" t="s">
        <v>449</v>
      </c>
      <c r="M8" s="14">
        <f ca="1">IF(ISBLANK(D8),"",MATCH($A8,OFFSET(SpellProperties!$AI$1:$AN$1,MATCH(D8,SpellProperties!$A$2:$A$165,0),0),0))</f>
        <v>1</v>
      </c>
      <c r="N8" s="14">
        <f ca="1">IF(ISBLANK(E8),"",MATCH($A8,OFFSET(SpellProperties!$AI$1:$AN$1,MATCH(E8,SpellProperties!$A$2:$A$165,0),0),0))</f>
        <v>2</v>
      </c>
      <c r="O8" s="14">
        <f ca="1">IF(ISBLANK(F8),"",MATCH($A8,OFFSET(SpellProperties!$AI$1:$AN$1,MATCH(F8,SpellProperties!$A$2:$A$165,0),0),0))</f>
        <v>2</v>
      </c>
      <c r="P8" s="14">
        <f ca="1">IF(ISBLANK(G8),"",MATCH($A8,OFFSET(SpellProperties!$AI$1:$AN$1,MATCH(G8,SpellProperties!$A$2:$A$165,0),0),0))</f>
        <v>1</v>
      </c>
      <c r="Q8" s="14">
        <f ca="1">IF(ISBLANK(H8),"",MATCH($A8,OFFSET(SpellProperties!$AI$1:$AN$1,MATCH(H8,SpellProperties!$A$2:$A$165,0),0),0))</f>
        <v>2</v>
      </c>
      <c r="R8" s="14">
        <f ca="1">IF(ISBLANK(I8),"",MATCH($A8,OFFSET(SpellProperties!$AI$1:$AN$1,MATCH(I8,SpellProperties!$A$2:$A$165,0),0),0))</f>
        <v>1</v>
      </c>
      <c r="S8" s="14">
        <f ca="1">IF(ISBLANK(J8),"",MATCH($A8,OFFSET(SpellProperties!$AI$1:$AN$1,MATCH(J8,SpellProperties!$A$2:$A$165,0),0),0))</f>
        <v>1</v>
      </c>
      <c r="T8" s="14">
        <f ca="1">IF(ISBLANK(K8),"",MATCH($A8,OFFSET(SpellProperties!$AI$1:$AN$1,MATCH(K8,SpellProperties!$A$2:$A$165,0),0),0))</f>
      </c>
      <c r="V8" s="14">
        <f>COUNTIF(SpellProperties!$AI$2:$AN$165,$A8)</f>
        <v>7</v>
      </c>
      <c r="W8" s="14">
        <f t="shared" si="0"/>
        <v>7</v>
      </c>
      <c r="X8" s="14" t="b">
        <f t="shared" si="1"/>
        <v>1</v>
      </c>
      <c r="AN8" s="1"/>
      <c r="AO8" s="1">
        <f t="shared" si="2"/>
        <v>33.6</v>
      </c>
    </row>
    <row r="9" spans="1:41" ht="12.75">
      <c r="A9" t="s">
        <v>1018</v>
      </c>
      <c r="B9" s="22"/>
      <c r="C9">
        <v>6</v>
      </c>
      <c r="D9" t="s">
        <v>432</v>
      </c>
      <c r="E9" t="s">
        <v>461</v>
      </c>
      <c r="F9" t="s">
        <v>363</v>
      </c>
      <c r="G9" t="s">
        <v>472</v>
      </c>
      <c r="H9" t="s">
        <v>442</v>
      </c>
      <c r="M9" s="14">
        <f ca="1">IF(ISBLANK(D9),"",MATCH($A9,OFFSET(SpellProperties!$AI$1:$AN$1,MATCH(D9,SpellProperties!$A$2:$A$165,0),0),0))</f>
        <v>3</v>
      </c>
      <c r="N9" s="14">
        <f ca="1">IF(ISBLANK(E9),"",MATCH($A9,OFFSET(SpellProperties!$AI$1:$AN$1,MATCH(E9,SpellProperties!$A$2:$A$165,0),0),0))</f>
        <v>4</v>
      </c>
      <c r="O9" s="14">
        <f ca="1">IF(ISBLANK(F9),"",MATCH($A9,OFFSET(SpellProperties!$AI$1:$AN$1,MATCH(F9,SpellProperties!$A$2:$A$165,0),0),0))</f>
        <v>4</v>
      </c>
      <c r="P9" s="14">
        <f ca="1">IF(ISBLANK(G9),"",MATCH($A9,OFFSET(SpellProperties!$AI$1:$AN$1,MATCH(G9,SpellProperties!$A$2:$A$165,0),0),0))</f>
        <v>1</v>
      </c>
      <c r="Q9" s="14">
        <f ca="1">IF(ISBLANK(H9),"",MATCH($A9,OFFSET(SpellProperties!$AI$1:$AN$1,MATCH(H9,SpellProperties!$A$2:$A$165,0),0),0))</f>
        <v>3</v>
      </c>
      <c r="R9" s="14">
        <f ca="1">IF(ISBLANK(I9),"",MATCH($A9,OFFSET(SpellProperties!$AI$1:$AN$1,MATCH(I9,SpellProperties!$A$2:$A$165,0),0),0))</f>
      </c>
      <c r="S9" s="14">
        <f ca="1">IF(ISBLANK(J9),"",MATCH($A9,OFFSET(SpellProperties!$AI$1:$AN$1,MATCH(J9,SpellProperties!$A$2:$A$165,0),0),0))</f>
      </c>
      <c r="T9" s="14">
        <f ca="1">IF(ISBLANK(K9),"",MATCH($A9,OFFSET(SpellProperties!$AI$1:$AN$1,MATCH(K9,SpellProperties!$A$2:$A$165,0),0),0))</f>
      </c>
      <c r="V9" s="14">
        <f>COUNTIF(SpellProperties!$AI$2:$AN$165,$A9)</f>
        <v>5</v>
      </c>
      <c r="W9" s="14">
        <f t="shared" si="0"/>
        <v>5</v>
      </c>
      <c r="X9" s="14" t="b">
        <f t="shared" si="1"/>
        <v>1</v>
      </c>
      <c r="AN9" s="1"/>
      <c r="AO9" s="1">
        <f t="shared" si="2"/>
        <v>33.6</v>
      </c>
    </row>
    <row r="10" spans="1:41" ht="12.75">
      <c r="A10" s="15" t="s">
        <v>1029</v>
      </c>
      <c r="B10" s="23">
        <f>IF(SUM(B11:B12)&gt;0,1,0)</f>
        <v>1</v>
      </c>
      <c r="C10" s="15">
        <f>AVERAGE(C11:C12)</f>
        <v>3</v>
      </c>
      <c r="D10" t="s">
        <v>456</v>
      </c>
      <c r="M10" s="14">
        <f ca="1">IF(ISBLANK(D10),"",MATCH($A10,OFFSET(SpellProperties!$AI$1:$AN$1,MATCH(D10,SpellProperties!$A$2:$A$165,0),0),0))</f>
        <v>2</v>
      </c>
      <c r="N10" s="14">
        <f ca="1">IF(ISBLANK(E10),"",MATCH($A10,OFFSET(SpellProperties!$AI$1:$AN$1,MATCH(E10,SpellProperties!$A$2:$A$165,0),0),0))</f>
      </c>
      <c r="O10" s="14">
        <f ca="1">IF(ISBLANK(F10),"",MATCH($A10,OFFSET(SpellProperties!$AI$1:$AN$1,MATCH(F10,SpellProperties!$A$2:$A$165,0),0),0))</f>
      </c>
      <c r="P10" s="14">
        <f ca="1">IF(ISBLANK(G10),"",MATCH($A10,OFFSET(SpellProperties!$AI$1:$AN$1,MATCH(G10,SpellProperties!$A$2:$A$165,0),0),0))</f>
      </c>
      <c r="Q10" s="14">
        <f ca="1">IF(ISBLANK(H10),"",MATCH($A10,OFFSET(SpellProperties!$AI$1:$AN$1,MATCH(H10,SpellProperties!$A$2:$A$165,0),0),0))</f>
      </c>
      <c r="R10" s="14">
        <f ca="1">IF(ISBLANK(I10),"",MATCH($A10,OFFSET(SpellProperties!$AI$1:$AN$1,MATCH(I10,SpellProperties!$A$2:$A$165,0),0),0))</f>
      </c>
      <c r="S10" s="14">
        <f ca="1">IF(ISBLANK(J10),"",MATCH($A10,OFFSET(SpellProperties!$AI$1:$AN$1,MATCH(J10,SpellProperties!$A$2:$A$165,0),0),0))</f>
      </c>
      <c r="T10" s="14">
        <f ca="1">IF(ISBLANK(K10),"",MATCH($A10,OFFSET(SpellProperties!$AI$1:$AN$1,MATCH(K10,SpellProperties!$A$2:$A$165,0),0),0))</f>
      </c>
      <c r="V10" s="14">
        <f>COUNTIF(SpellProperties!$AI$2:$AN$165,$A10)</f>
        <v>1</v>
      </c>
      <c r="W10" s="14">
        <f t="shared" si="0"/>
        <v>1</v>
      </c>
      <c r="X10" s="14" t="b">
        <f t="shared" si="1"/>
        <v>1</v>
      </c>
      <c r="AN10" s="1"/>
      <c r="AO10" s="1">
        <f t="shared" si="2"/>
        <v>33.6</v>
      </c>
    </row>
    <row r="11" spans="1:41" ht="12.75">
      <c r="A11" t="s">
        <v>1012</v>
      </c>
      <c r="B11" s="22">
        <v>1</v>
      </c>
      <c r="C11">
        <v>3</v>
      </c>
      <c r="D11" t="s">
        <v>456</v>
      </c>
      <c r="E11" t="s">
        <v>572</v>
      </c>
      <c r="F11" t="s">
        <v>554</v>
      </c>
      <c r="G11" t="s">
        <v>363</v>
      </c>
      <c r="H11" t="s">
        <v>369</v>
      </c>
      <c r="I11" t="s">
        <v>436</v>
      </c>
      <c r="M11" s="14" t="e">
        <f ca="1">IF(ISBLANK(D11),"",MATCH($A11,OFFSET(SpellProperties!$AI$1:$AN$1,MATCH(D11,SpellProperties!$A$2:$A$165,0),0),0))</f>
        <v>#N/A</v>
      </c>
      <c r="N11" s="14">
        <f ca="1">IF(ISBLANK(E11),"",MATCH($A11,OFFSET(SpellProperties!$AI$1:$AN$1,MATCH(E11,SpellProperties!$A$2:$A$165,0),0),0))</f>
        <v>2</v>
      </c>
      <c r="O11" s="14">
        <f ca="1">IF(ISBLANK(F11),"",MATCH($A11,OFFSET(SpellProperties!$AI$1:$AN$1,MATCH(F11,SpellProperties!$A$2:$A$165,0),0),0))</f>
        <v>1</v>
      </c>
      <c r="P11" s="14">
        <f ca="1">IF(ISBLANK(G11),"",MATCH($A11,OFFSET(SpellProperties!$AI$1:$AN$1,MATCH(G11,SpellProperties!$A$2:$A$165,0),0),0))</f>
        <v>2</v>
      </c>
      <c r="Q11" s="14">
        <f ca="1">IF(ISBLANK(H11),"",MATCH($A11,OFFSET(SpellProperties!$AI$1:$AN$1,MATCH(H11,SpellProperties!$A$2:$A$165,0),0),0))</f>
        <v>1</v>
      </c>
      <c r="R11" s="14">
        <f ca="1">IF(ISBLANK(I11),"",MATCH($A11,OFFSET(SpellProperties!$AI$1:$AN$1,MATCH(I11,SpellProperties!$A$2:$A$165,0),0),0))</f>
        <v>1</v>
      </c>
      <c r="S11" s="14">
        <f ca="1">IF(ISBLANK(J11),"",MATCH($A11,OFFSET(SpellProperties!$AI$1:$AN$1,MATCH(J11,SpellProperties!$A$2:$A$165,0),0),0))</f>
      </c>
      <c r="T11" s="14">
        <f ca="1">IF(ISBLANK(K11),"",MATCH($A11,OFFSET(SpellProperties!$AI$1:$AN$1,MATCH(K11,SpellProperties!$A$2:$A$165,0),0),0))</f>
      </c>
      <c r="V11" s="14">
        <f>COUNTIF(SpellProperties!$AI$2:$AN$165,$A11)</f>
        <v>5</v>
      </c>
      <c r="W11" s="14">
        <f t="shared" si="0"/>
        <v>6</v>
      </c>
      <c r="X11" s="14" t="b">
        <f t="shared" si="1"/>
        <v>0</v>
      </c>
      <c r="AN11" s="1"/>
      <c r="AO11" s="1">
        <f t="shared" si="2"/>
        <v>33.6</v>
      </c>
    </row>
    <row r="12" spans="1:41" ht="12.75">
      <c r="A12" t="s">
        <v>1013</v>
      </c>
      <c r="B12" s="22">
        <v>1</v>
      </c>
      <c r="C12">
        <v>3</v>
      </c>
      <c r="D12" t="s">
        <v>456</v>
      </c>
      <c r="E12" t="s">
        <v>573</v>
      </c>
      <c r="F12" t="s">
        <v>461</v>
      </c>
      <c r="G12" t="s">
        <v>493</v>
      </c>
      <c r="H12" t="s">
        <v>366</v>
      </c>
      <c r="I12" t="s">
        <v>442</v>
      </c>
      <c r="M12" s="14" t="e">
        <f ca="1">IF(ISBLANK(D12),"",MATCH($A12,OFFSET(SpellProperties!$AI$1:$AN$1,MATCH(D12,SpellProperties!$A$2:$A$165,0),0),0))</f>
        <v>#N/A</v>
      </c>
      <c r="N12" s="14">
        <f ca="1">IF(ISBLANK(E12),"",MATCH($A12,OFFSET(SpellProperties!$AI$1:$AN$1,MATCH(E12,SpellProperties!$A$2:$A$165,0),0),0))</f>
        <v>2</v>
      </c>
      <c r="O12" s="14">
        <f ca="1">IF(ISBLANK(F12),"",MATCH($A12,OFFSET(SpellProperties!$AI$1:$AN$1,MATCH(F12,SpellProperties!$A$2:$A$165,0),0),0))</f>
        <v>2</v>
      </c>
      <c r="P12" s="14">
        <f ca="1">IF(ISBLANK(G12),"",MATCH($A12,OFFSET(SpellProperties!$AI$1:$AN$1,MATCH(G12,SpellProperties!$A$2:$A$165,0),0),0))</f>
        <v>1</v>
      </c>
      <c r="Q12" s="14">
        <f ca="1">IF(ISBLANK(H12),"",MATCH($A12,OFFSET(SpellProperties!$AI$1:$AN$1,MATCH(H12,SpellProperties!$A$2:$A$165,0),0),0))</f>
        <v>1</v>
      </c>
      <c r="R12" s="14">
        <f ca="1">IF(ISBLANK(I12),"",MATCH($A12,OFFSET(SpellProperties!$AI$1:$AN$1,MATCH(I12,SpellProperties!$A$2:$A$165,0),0),0))</f>
        <v>1</v>
      </c>
      <c r="S12" s="14">
        <f ca="1">IF(ISBLANK(J12),"",MATCH($A12,OFFSET(SpellProperties!$AI$1:$AN$1,MATCH(J12,SpellProperties!$A$2:$A$165,0),0),0))</f>
      </c>
      <c r="T12" s="14">
        <f ca="1">IF(ISBLANK(K12),"",MATCH($A12,OFFSET(SpellProperties!$AI$1:$AN$1,MATCH(K12,SpellProperties!$A$2:$A$165,0),0),0))</f>
      </c>
      <c r="V12" s="14">
        <f>COUNTIF(SpellProperties!$AI$2:$AN$165,$A12)</f>
        <v>5</v>
      </c>
      <c r="W12" s="14">
        <f t="shared" si="0"/>
        <v>6</v>
      </c>
      <c r="X12" s="14" t="b">
        <f t="shared" si="1"/>
        <v>0</v>
      </c>
      <c r="AN12" s="1"/>
      <c r="AO12" s="1">
        <f t="shared" si="2"/>
        <v>33.6</v>
      </c>
    </row>
    <row r="13" spans="1:41" ht="12.75">
      <c r="A13" t="s">
        <v>1020</v>
      </c>
      <c r="B13" s="22"/>
      <c r="C13">
        <v>10</v>
      </c>
      <c r="D13" t="s">
        <v>392</v>
      </c>
      <c r="E13" t="s">
        <v>569</v>
      </c>
      <c r="F13" t="s">
        <v>459</v>
      </c>
      <c r="G13" t="s">
        <v>394</v>
      </c>
      <c r="H13" t="s">
        <v>390</v>
      </c>
      <c r="I13" s="4" t="s">
        <v>462</v>
      </c>
      <c r="M13" s="14">
        <f ca="1">IF(ISBLANK(D13),"",MATCH($A13,OFFSET(SpellProperties!$AI$1:$AN$1,MATCH(D13,SpellProperties!$A$2:$A$165,0),0),0))</f>
        <v>2</v>
      </c>
      <c r="N13" s="14">
        <f ca="1">IF(ISBLANK(E13),"",MATCH($A13,OFFSET(SpellProperties!$AI$1:$AN$1,MATCH(E13,SpellProperties!$A$2:$A$165,0),0),0))</f>
        <v>1</v>
      </c>
      <c r="O13" s="14">
        <f ca="1">IF(ISBLANK(F13),"",MATCH($A13,OFFSET(SpellProperties!$AI$1:$AN$1,MATCH(F13,SpellProperties!$A$2:$A$165,0),0),0))</f>
        <v>1</v>
      </c>
      <c r="P13" s="14">
        <f ca="1">IF(ISBLANK(G13),"",MATCH($A13,OFFSET(SpellProperties!$AI$1:$AN$1,MATCH(G13,SpellProperties!$A$2:$A$165,0),0),0))</f>
        <v>2</v>
      </c>
      <c r="Q13" s="14">
        <f ca="1">IF(ISBLANK(H13),"",MATCH($A13,OFFSET(SpellProperties!$AI$1:$AN$1,MATCH(H13,SpellProperties!$A$2:$A$165,0),0),0))</f>
        <v>2</v>
      </c>
      <c r="R13" s="14">
        <f ca="1">IF(ISBLANK(I13),"",MATCH($A13,OFFSET(SpellProperties!$AI$1:$AN$1,MATCH(I13,SpellProperties!$A$2:$A$165,0),0),0))</f>
        <v>2</v>
      </c>
      <c r="S13" s="14">
        <f ca="1">IF(ISBLANK(J13),"",MATCH($A13,OFFSET(SpellProperties!$AI$1:$AN$1,MATCH(J13,SpellProperties!$A$2:$A$165,0),0),0))</f>
      </c>
      <c r="T13" s="14">
        <f ca="1">IF(ISBLANK(K13),"",MATCH($A13,OFFSET(SpellProperties!$AI$1:$AN$1,MATCH(K13,SpellProperties!$A$2:$A$165,0),0),0))</f>
      </c>
      <c r="V13" s="14">
        <f>COUNTIF(SpellProperties!$AI$2:$AN$165,$A13)</f>
        <v>6</v>
      </c>
      <c r="W13" s="14">
        <f t="shared" si="0"/>
        <v>6</v>
      </c>
      <c r="X13" s="14" t="b">
        <f t="shared" si="1"/>
        <v>1</v>
      </c>
      <c r="AN13" s="1"/>
      <c r="AO13" s="1">
        <f t="shared" si="2"/>
        <v>33.6</v>
      </c>
    </row>
    <row r="14" spans="1:41" ht="12.75">
      <c r="A14" t="s">
        <v>609</v>
      </c>
      <c r="B14" s="22"/>
      <c r="C14">
        <v>11</v>
      </c>
      <c r="D14" t="s">
        <v>402</v>
      </c>
      <c r="E14" t="s">
        <v>403</v>
      </c>
      <c r="F14" t="s">
        <v>453</v>
      </c>
      <c r="G14" t="s">
        <v>406</v>
      </c>
      <c r="H14" t="s">
        <v>370</v>
      </c>
      <c r="M14" s="14">
        <f ca="1">IF(ISBLANK(D14),"",MATCH($A14,OFFSET(SpellProperties!$AI$1:$AN$1,MATCH(D14,SpellProperties!$A$2:$A$165,0),0),0))</f>
        <v>1</v>
      </c>
      <c r="N14" s="14">
        <f ca="1">IF(ISBLANK(E14),"",MATCH($A14,OFFSET(SpellProperties!$AI$1:$AN$1,MATCH(E14,SpellProperties!$A$2:$A$165,0),0),0))</f>
        <v>1</v>
      </c>
      <c r="O14" s="14">
        <f ca="1">IF(ISBLANK(F14),"",MATCH($A14,OFFSET(SpellProperties!$AI$1:$AN$1,MATCH(F14,SpellProperties!$A$2:$A$165,0),0),0))</f>
        <v>1</v>
      </c>
      <c r="P14" s="14">
        <f ca="1">IF(ISBLANK(G14),"",MATCH($A14,OFFSET(SpellProperties!$AI$1:$AN$1,MATCH(G14,SpellProperties!$A$2:$A$165,0),0),0))</f>
        <v>1</v>
      </c>
      <c r="Q14" s="14">
        <f ca="1">IF(ISBLANK(H14),"",MATCH($A14,OFFSET(SpellProperties!$AI$1:$AN$1,MATCH(H14,SpellProperties!$A$2:$A$165,0),0),0))</f>
        <v>1</v>
      </c>
      <c r="R14" s="14">
        <f ca="1">IF(ISBLANK(I14),"",MATCH($A14,OFFSET(SpellProperties!$AI$1:$AN$1,MATCH(I14,SpellProperties!$A$2:$A$165,0),0),0))</f>
      </c>
      <c r="S14" s="14">
        <f ca="1">IF(ISBLANK(J14),"",MATCH($A14,OFFSET(SpellProperties!$AI$1:$AN$1,MATCH(J14,SpellProperties!$A$2:$A$165,0),0),0))</f>
      </c>
      <c r="T14" s="14">
        <f ca="1">IF(ISBLANK(K14),"",MATCH($A14,OFFSET(SpellProperties!$AI$1:$AN$1,MATCH(K14,SpellProperties!$A$2:$A$165,0),0),0))</f>
      </c>
      <c r="V14" s="14">
        <f>COUNTIF(SpellProperties!$AI$2:$AN$165,$A14)</f>
        <v>5</v>
      </c>
      <c r="W14" s="14">
        <f t="shared" si="0"/>
        <v>5</v>
      </c>
      <c r="X14" s="14" t="b">
        <f t="shared" si="1"/>
        <v>1</v>
      </c>
      <c r="AN14" s="1"/>
      <c r="AO14" s="1">
        <f t="shared" si="2"/>
        <v>33.6</v>
      </c>
    </row>
    <row r="15" spans="1:41" ht="12.75">
      <c r="A15" t="s">
        <v>631</v>
      </c>
      <c r="B15" s="22"/>
      <c r="C15">
        <v>20</v>
      </c>
      <c r="D15" t="s">
        <v>48</v>
      </c>
      <c r="E15" t="s">
        <v>476</v>
      </c>
      <c r="F15" t="s">
        <v>416</v>
      </c>
      <c r="G15" t="s">
        <v>558</v>
      </c>
      <c r="H15" t="s">
        <v>417</v>
      </c>
      <c r="I15" t="s">
        <v>560</v>
      </c>
      <c r="M15" s="14">
        <f ca="1">IF(ISBLANK(D15),"",MATCH($A15,OFFSET(SpellProperties!$AI$1:$AN$1,MATCH(D15,SpellProperties!$A$2:$A$165,0),0),0))</f>
        <v>2</v>
      </c>
      <c r="N15" s="14">
        <f ca="1">IF(ISBLANK(E15),"",MATCH($A15,OFFSET(SpellProperties!$AI$1:$AN$1,MATCH(E15,SpellProperties!$A$2:$A$165,0),0),0))</f>
        <v>1</v>
      </c>
      <c r="O15" s="14">
        <f ca="1">IF(ISBLANK(F15),"",MATCH($A15,OFFSET(SpellProperties!$AI$1:$AN$1,MATCH(F15,SpellProperties!$A$2:$A$165,0),0),0))</f>
        <v>2</v>
      </c>
      <c r="P15" s="14">
        <f ca="1">IF(ISBLANK(G15),"",MATCH($A15,OFFSET(SpellProperties!$AI$1:$AN$1,MATCH(G15,SpellProperties!$A$2:$A$165,0),0),0))</f>
        <v>1</v>
      </c>
      <c r="Q15" s="14">
        <f ca="1">IF(ISBLANK(H15),"",MATCH($A15,OFFSET(SpellProperties!$AI$1:$AN$1,MATCH(H15,SpellProperties!$A$2:$A$165,0),0),0))</f>
        <v>1</v>
      </c>
      <c r="R15" s="14">
        <f ca="1">IF(ISBLANK(I15),"",MATCH($A15,OFFSET(SpellProperties!$AI$1:$AN$1,MATCH(I15,SpellProperties!$A$2:$A$165,0),0),0))</f>
        <v>1</v>
      </c>
      <c r="S15" s="14">
        <f ca="1">IF(ISBLANK(J15),"",MATCH($A15,OFFSET(SpellProperties!$AI$1:$AN$1,MATCH(J15,SpellProperties!$A$2:$A$165,0),0),0))</f>
      </c>
      <c r="T15" s="14">
        <f ca="1">IF(ISBLANK(K15),"",MATCH($A15,OFFSET(SpellProperties!$AI$1:$AN$1,MATCH(K15,SpellProperties!$A$2:$A$165,0),0),0))</f>
      </c>
      <c r="V15" s="14">
        <f>COUNTIF(SpellProperties!$AI$2:$AN$165,$A15)</f>
        <v>6</v>
      </c>
      <c r="W15" s="14">
        <f t="shared" si="0"/>
        <v>6</v>
      </c>
      <c r="X15" s="14" t="b">
        <f t="shared" si="1"/>
        <v>1</v>
      </c>
      <c r="AN15" s="1"/>
      <c r="AO15" s="1">
        <f t="shared" si="2"/>
        <v>33.6</v>
      </c>
    </row>
    <row r="16" spans="1:41" ht="12.75">
      <c r="A16" t="s">
        <v>639</v>
      </c>
      <c r="B16" s="22">
        <v>1</v>
      </c>
      <c r="C16">
        <v>8</v>
      </c>
      <c r="D16" s="4" t="s">
        <v>376</v>
      </c>
      <c r="E16" s="4" t="s">
        <v>377</v>
      </c>
      <c r="F16" s="4" t="s">
        <v>378</v>
      </c>
      <c r="G16" s="28" t="s">
        <v>380</v>
      </c>
      <c r="H16" s="28" t="s">
        <v>484</v>
      </c>
      <c r="I16" s="28" t="s">
        <v>439</v>
      </c>
      <c r="J16" s="28" t="s">
        <v>446</v>
      </c>
      <c r="M16" s="14">
        <f ca="1">IF(ISBLANK(D16),"",MATCH($A16,OFFSET(SpellProperties!$AI$1:$AN$1,MATCH(D16,SpellProperties!$A$2:$A$165,0),0),0))</f>
        <v>2</v>
      </c>
      <c r="N16" s="14">
        <f ca="1">IF(ISBLANK(E16),"",MATCH($A16,OFFSET(SpellProperties!$AI$1:$AN$1,MATCH(E16,SpellProperties!$A$2:$A$165,0),0),0))</f>
        <v>1</v>
      </c>
      <c r="O16" s="14">
        <f ca="1">IF(ISBLANK(F16),"",MATCH($A16,OFFSET(SpellProperties!$AI$1:$AN$1,MATCH(F16,SpellProperties!$A$2:$A$165,0),0),0))</f>
        <v>2</v>
      </c>
      <c r="P16" s="14">
        <f ca="1">IF(ISBLANK(G16),"",MATCH($A16,OFFSET(SpellProperties!$AI$1:$AN$1,MATCH(G16,SpellProperties!$A$2:$A$165,0),0),0))</f>
        <v>2</v>
      </c>
      <c r="Q16" s="14">
        <f ca="1">IF(ISBLANK(H16),"",MATCH($A16,OFFSET(SpellProperties!$AI$1:$AN$1,MATCH(H16,SpellProperties!$A$2:$A$165,0),0),0))</f>
        <v>1</v>
      </c>
      <c r="R16" s="14">
        <f ca="1">IF(ISBLANK(I16),"",MATCH($A16,OFFSET(SpellProperties!$AI$1:$AN$1,MATCH(I16,SpellProperties!$A$2:$A$165,0),0),0))</f>
        <v>1</v>
      </c>
      <c r="S16" s="14">
        <f ca="1">IF(ISBLANK(J16),"",MATCH($A16,OFFSET(SpellProperties!$AI$1:$AN$1,MATCH(J16,SpellProperties!$A$2:$A$165,0),0),0))</f>
        <v>1</v>
      </c>
      <c r="T16" s="14">
        <f ca="1">IF(ISBLANK(K16),"",MATCH($A16,OFFSET(SpellProperties!$AI$1:$AN$1,MATCH(K16,SpellProperties!$A$2:$A$165,0),0),0))</f>
      </c>
      <c r="V16" s="14">
        <f>COUNTIF(SpellProperties!$AI$2:$AN$165,$A16)</f>
        <v>7</v>
      </c>
      <c r="W16" s="14">
        <f t="shared" si="0"/>
        <v>7</v>
      </c>
      <c r="X16" s="14" t="b">
        <f t="shared" si="1"/>
        <v>1</v>
      </c>
      <c r="AN16" s="1"/>
      <c r="AO16" s="1">
        <f t="shared" si="2"/>
        <v>33.6</v>
      </c>
    </row>
    <row r="17" spans="1:41" ht="12.75">
      <c r="A17" t="s">
        <v>593</v>
      </c>
      <c r="B17" s="22"/>
      <c r="C17">
        <v>7</v>
      </c>
      <c r="D17" t="s">
        <v>454</v>
      </c>
      <c r="E17" t="s">
        <v>485</v>
      </c>
      <c r="F17" t="s">
        <v>479</v>
      </c>
      <c r="G17" t="s">
        <v>393</v>
      </c>
      <c r="H17" t="s">
        <v>433</v>
      </c>
      <c r="I17" t="s">
        <v>358</v>
      </c>
      <c r="J17" t="s">
        <v>443</v>
      </c>
      <c r="M17" s="14">
        <f ca="1">IF(ISBLANK(D17),"",MATCH($A17,OFFSET(SpellProperties!$AI$1:$AN$1,MATCH(D17,SpellProperties!$A$2:$A$165,0),0),0))</f>
        <v>1</v>
      </c>
      <c r="N17" s="14">
        <f ca="1">IF(ISBLANK(E17),"",MATCH($A17,OFFSET(SpellProperties!$AI$1:$AN$1,MATCH(E17,SpellProperties!$A$2:$A$165,0),0),0))</f>
        <v>1</v>
      </c>
      <c r="O17" s="14">
        <f ca="1">IF(ISBLANK(F17),"",MATCH($A17,OFFSET(SpellProperties!$AI$1:$AN$1,MATCH(F17,SpellProperties!$A$2:$A$165,0),0),0))</f>
        <v>1</v>
      </c>
      <c r="P17" s="14">
        <f ca="1">IF(ISBLANK(G17),"",MATCH($A17,OFFSET(SpellProperties!$AI$1:$AN$1,MATCH(G17,SpellProperties!$A$2:$A$165,0),0),0))</f>
        <v>1</v>
      </c>
      <c r="Q17" s="14">
        <f ca="1">IF(ISBLANK(H17),"",MATCH($A17,OFFSET(SpellProperties!$AI$1:$AN$1,MATCH(H17,SpellProperties!$A$2:$A$165,0),0),0))</f>
        <v>1</v>
      </c>
      <c r="R17" s="14">
        <f ca="1">IF(ISBLANK(I17),"",MATCH($A17,OFFSET(SpellProperties!$AI$1:$AN$1,MATCH(I17,SpellProperties!$A$2:$A$165,0),0),0))</f>
        <v>1</v>
      </c>
      <c r="S17" s="14">
        <f ca="1">IF(ISBLANK(J17),"",MATCH($A17,OFFSET(SpellProperties!$AI$1:$AN$1,MATCH(J17,SpellProperties!$A$2:$A$165,0),0),0))</f>
        <v>1</v>
      </c>
      <c r="T17" s="14">
        <f ca="1">IF(ISBLANK(K17),"",MATCH($A17,OFFSET(SpellProperties!$AI$1:$AN$1,MATCH(K17,SpellProperties!$A$2:$A$165,0),0),0))</f>
      </c>
      <c r="V17" s="14">
        <f>COUNTIF(SpellProperties!$AI$2:$AN$165,$A17)</f>
        <v>7</v>
      </c>
      <c r="W17" s="14">
        <f t="shared" si="0"/>
        <v>7</v>
      </c>
      <c r="X17" s="14" t="b">
        <f t="shared" si="1"/>
        <v>1</v>
      </c>
      <c r="AN17" s="1"/>
      <c r="AO17" s="1">
        <f t="shared" si="2"/>
        <v>33.6</v>
      </c>
    </row>
    <row r="18" spans="1:41" ht="12.75">
      <c r="A18" t="s">
        <v>644</v>
      </c>
      <c r="B18" s="22"/>
      <c r="C18">
        <v>15</v>
      </c>
      <c r="D18" t="s">
        <v>492</v>
      </c>
      <c r="E18" t="s">
        <v>470</v>
      </c>
      <c r="F18" t="s">
        <v>563</v>
      </c>
      <c r="G18" t="s">
        <v>481</v>
      </c>
      <c r="H18" s="4" t="s">
        <v>464</v>
      </c>
      <c r="I18" t="s">
        <v>472</v>
      </c>
      <c r="M18" s="14">
        <f ca="1">IF(ISBLANK(D18),"",MATCH($A18,OFFSET(SpellProperties!$AI$1:$AN$1,MATCH(D18,SpellProperties!$A$2:$A$165,0),0),0))</f>
        <v>2</v>
      </c>
      <c r="N18" s="14">
        <f ca="1">IF(ISBLANK(E18),"",MATCH($A18,OFFSET(SpellProperties!$AI$1:$AN$1,MATCH(E18,SpellProperties!$A$2:$A$165,0),0),0))</f>
        <v>1</v>
      </c>
      <c r="O18" s="14">
        <f ca="1">IF(ISBLANK(F18),"",MATCH($A18,OFFSET(SpellProperties!$AI$1:$AN$1,MATCH(F18,SpellProperties!$A$2:$A$165,0),0),0))</f>
        <v>2</v>
      </c>
      <c r="P18" s="14">
        <f ca="1">IF(ISBLANK(G18),"",MATCH($A18,OFFSET(SpellProperties!$AI$1:$AN$1,MATCH(G18,SpellProperties!$A$2:$A$165,0),0),0))</f>
        <v>1</v>
      </c>
      <c r="Q18" s="14">
        <f ca="1">IF(ISBLANK(H18),"",MATCH($A18,OFFSET(SpellProperties!$AI$1:$AN$1,MATCH(H18,SpellProperties!$A$2:$A$165,0),0),0))</f>
        <v>1</v>
      </c>
      <c r="R18" s="14">
        <f ca="1">IF(ISBLANK(I18),"",MATCH($A18,OFFSET(SpellProperties!$AI$1:$AN$1,MATCH(I18,SpellProperties!$A$2:$A$165,0),0),0))</f>
        <v>2</v>
      </c>
      <c r="S18" s="14">
        <f ca="1">IF(ISBLANK(J18),"",MATCH($A18,OFFSET(SpellProperties!$AI$1:$AN$1,MATCH(J18,SpellProperties!$A$2:$A$165,0),0),0))</f>
      </c>
      <c r="T18" s="14">
        <f ca="1">IF(ISBLANK(K18),"",MATCH($A18,OFFSET(SpellProperties!$AI$1:$AN$1,MATCH(K18,SpellProperties!$A$2:$A$165,0),0),0))</f>
      </c>
      <c r="V18" s="14">
        <f>COUNTIF(SpellProperties!$AI$2:$AN$165,$A18)</f>
        <v>6</v>
      </c>
      <c r="W18" s="14">
        <f t="shared" si="0"/>
        <v>6</v>
      </c>
      <c r="X18" s="14" t="b">
        <f t="shared" si="1"/>
        <v>1</v>
      </c>
      <c r="AN18" s="1"/>
      <c r="AO18" s="1">
        <f t="shared" si="2"/>
        <v>33.6</v>
      </c>
    </row>
    <row r="19" spans="1:41" ht="12.75">
      <c r="A19" t="s">
        <v>364</v>
      </c>
      <c r="B19" s="22"/>
      <c r="C19">
        <v>10</v>
      </c>
      <c r="D19" t="s">
        <v>432</v>
      </c>
      <c r="E19" t="s">
        <v>434</v>
      </c>
      <c r="F19" t="s">
        <v>559</v>
      </c>
      <c r="G19" t="s">
        <v>369</v>
      </c>
      <c r="H19" s="4" t="s">
        <v>920</v>
      </c>
      <c r="I19" t="s">
        <v>447</v>
      </c>
      <c r="J19" t="s">
        <v>482</v>
      </c>
      <c r="M19" s="14">
        <f ca="1">IF(ISBLANK(D19),"",MATCH($A19,OFFSET(SpellProperties!$AI$1:$AN$1,MATCH(D19,SpellProperties!$A$2:$A$165,0),0),0))</f>
        <v>1</v>
      </c>
      <c r="N19" s="14">
        <f ca="1">IF(ISBLANK(E19),"",MATCH($A19,OFFSET(SpellProperties!$AI$1:$AN$1,MATCH(E19,SpellProperties!$A$2:$A$165,0),0),0))</f>
        <v>1</v>
      </c>
      <c r="O19" s="14">
        <f ca="1">IF(ISBLANK(F19),"",MATCH($A19,OFFSET(SpellProperties!$AI$1:$AN$1,MATCH(F19,SpellProperties!$A$2:$A$165,0),0),0))</f>
        <v>1</v>
      </c>
      <c r="P19" s="14">
        <f ca="1">IF(ISBLANK(G19),"",MATCH($A19,OFFSET(SpellProperties!$AI$1:$AN$1,MATCH(G19,SpellProperties!$A$2:$A$165,0),0),0))</f>
        <v>2</v>
      </c>
      <c r="Q19" s="14">
        <f ca="1">IF(ISBLANK(H19),"",MATCH($A19,OFFSET(SpellProperties!$AI$1:$AN$1,MATCH(H19,SpellProperties!$A$2:$A$165,0),0),0))</f>
        <v>1</v>
      </c>
      <c r="R19" s="14">
        <f ca="1">IF(ISBLANK(I19),"",MATCH($A19,OFFSET(SpellProperties!$AI$1:$AN$1,MATCH(I19,SpellProperties!$A$2:$A$165,0),0),0))</f>
        <v>1</v>
      </c>
      <c r="S19" s="14">
        <f ca="1">IF(ISBLANK(J19),"",MATCH($A19,OFFSET(SpellProperties!$AI$1:$AN$1,MATCH(J19,SpellProperties!$A$2:$A$165,0),0),0))</f>
        <v>1</v>
      </c>
      <c r="T19" s="14">
        <f ca="1">IF(ISBLANK(K19),"",MATCH($A19,OFFSET(SpellProperties!$AI$1:$AN$1,MATCH(K19,SpellProperties!$A$2:$A$165,0),0),0))</f>
      </c>
      <c r="V19" s="14">
        <f>COUNTIF(SpellProperties!$AI$2:$AN$165,$A19)</f>
        <v>7</v>
      </c>
      <c r="W19" s="14">
        <f t="shared" si="0"/>
        <v>7</v>
      </c>
      <c r="X19" s="14" t="b">
        <f t="shared" si="1"/>
        <v>1</v>
      </c>
      <c r="AN19" s="1"/>
      <c r="AO19" s="1">
        <f t="shared" si="2"/>
        <v>33.6</v>
      </c>
    </row>
    <row r="20" spans="1:41" ht="12.75">
      <c r="A20" t="s">
        <v>583</v>
      </c>
      <c r="B20" s="22"/>
      <c r="C20">
        <v>4</v>
      </c>
      <c r="D20" t="s">
        <v>437</v>
      </c>
      <c r="E20" t="s">
        <v>572</v>
      </c>
      <c r="F20" t="s">
        <v>363</v>
      </c>
      <c r="G20" t="s">
        <v>552</v>
      </c>
      <c r="H20" t="s">
        <v>368</v>
      </c>
      <c r="I20" t="s">
        <v>436</v>
      </c>
      <c r="M20" s="14">
        <f ca="1">IF(ISBLANK(D20),"",MATCH($A20,OFFSET(SpellProperties!$AI$1:$AN$1,MATCH(D20,SpellProperties!$A$2:$A$165,0),0),0))</f>
        <v>1</v>
      </c>
      <c r="N20" s="14">
        <f ca="1">IF(ISBLANK(E20),"",MATCH($A20,OFFSET(SpellProperties!$AI$1:$AN$1,MATCH(E20,SpellProperties!$A$2:$A$165,0),0),0))</f>
        <v>3</v>
      </c>
      <c r="O20" s="14">
        <f ca="1">IF(ISBLANK(F20),"",MATCH($A20,OFFSET(SpellProperties!$AI$1:$AN$1,MATCH(F20,SpellProperties!$A$2:$A$165,0),0),0))</f>
        <v>3</v>
      </c>
      <c r="P20" s="14">
        <f ca="1">IF(ISBLANK(G20),"",MATCH($A20,OFFSET(SpellProperties!$AI$1:$AN$1,MATCH(G20,SpellProperties!$A$2:$A$165,0),0),0))</f>
        <v>1</v>
      </c>
      <c r="Q20" s="14">
        <f ca="1">IF(ISBLANK(H20),"",MATCH($A20,OFFSET(SpellProperties!$AI$1:$AN$1,MATCH(H20,SpellProperties!$A$2:$A$165,0),0),0))</f>
        <v>1</v>
      </c>
      <c r="R20" s="14">
        <f ca="1">IF(ISBLANK(I20),"",MATCH($A20,OFFSET(SpellProperties!$AI$1:$AN$1,MATCH(I20,SpellProperties!$A$2:$A$165,0),0),0))</f>
        <v>2</v>
      </c>
      <c r="S20" s="14">
        <f ca="1">IF(ISBLANK(J20),"",MATCH($A20,OFFSET(SpellProperties!$AI$1:$AN$1,MATCH(J20,SpellProperties!$A$2:$A$165,0),0),0))</f>
      </c>
      <c r="T20" s="14">
        <f ca="1">IF(ISBLANK(K20),"",MATCH($A20,OFFSET(SpellProperties!$AI$1:$AN$1,MATCH(K20,SpellProperties!$A$2:$A$165,0),0),0))</f>
      </c>
      <c r="V20" s="14">
        <f>COUNTIF(SpellProperties!$AI$2:$AN$165,$A20)</f>
        <v>6</v>
      </c>
      <c r="W20" s="14">
        <f t="shared" si="0"/>
        <v>6</v>
      </c>
      <c r="X20" s="14" t="b">
        <f t="shared" si="1"/>
        <v>1</v>
      </c>
      <c r="AN20" s="1"/>
      <c r="AO20" s="1">
        <f t="shared" si="2"/>
        <v>33.6</v>
      </c>
    </row>
    <row r="21" spans="1:41" ht="12.75">
      <c r="A21" t="s">
        <v>587</v>
      </c>
      <c r="B21" s="22">
        <v>1</v>
      </c>
      <c r="C21">
        <v>4</v>
      </c>
      <c r="D21" t="s">
        <v>440</v>
      </c>
      <c r="E21" t="s">
        <v>573</v>
      </c>
      <c r="F21" t="s">
        <v>465</v>
      </c>
      <c r="G21" t="s">
        <v>444</v>
      </c>
      <c r="H21" t="s">
        <v>562</v>
      </c>
      <c r="I21" t="s">
        <v>442</v>
      </c>
      <c r="M21" s="14">
        <f ca="1">IF(ISBLANK(D21),"",MATCH($A21,OFFSET(SpellProperties!$AI$1:$AN$1,MATCH(D21,SpellProperties!$A$2:$A$165,0),0),0))</f>
        <v>1</v>
      </c>
      <c r="N21" s="14">
        <f ca="1">IF(ISBLANK(E21),"",MATCH($A21,OFFSET(SpellProperties!$AI$1:$AN$1,MATCH(E21,SpellProperties!$A$2:$A$165,0),0),0))</f>
        <v>3</v>
      </c>
      <c r="O21" s="14">
        <f ca="1">IF(ISBLANK(F21),"",MATCH($A21,OFFSET(SpellProperties!$AI$1:$AN$1,MATCH(F21,SpellProperties!$A$2:$A$165,0),0),0))</f>
        <v>2</v>
      </c>
      <c r="P21" s="14">
        <f ca="1">IF(ISBLANK(G21),"",MATCH($A21,OFFSET(SpellProperties!$AI$1:$AN$1,MATCH(G21,SpellProperties!$A$2:$A$165,0),0),0))</f>
        <v>1</v>
      </c>
      <c r="Q21" s="14">
        <f ca="1">IF(ISBLANK(H21),"",MATCH($A21,OFFSET(SpellProperties!$AI$1:$AN$1,MATCH(H21,SpellProperties!$A$2:$A$165,0),0),0))</f>
        <v>1</v>
      </c>
      <c r="R21" s="14">
        <f ca="1">IF(ISBLANK(I21),"",MATCH($A21,OFFSET(SpellProperties!$AI$1:$AN$1,MATCH(I21,SpellProperties!$A$2:$A$165,0),0),0))</f>
        <v>2</v>
      </c>
      <c r="S21" s="14">
        <f ca="1">IF(ISBLANK(J21),"",MATCH($A21,OFFSET(SpellProperties!$AI$1:$AN$1,MATCH(J21,SpellProperties!$A$2:$A$165,0),0),0))</f>
      </c>
      <c r="T21" s="14">
        <f ca="1">IF(ISBLANK(K21),"",MATCH($A21,OFFSET(SpellProperties!$AI$1:$AN$1,MATCH(K21,SpellProperties!$A$2:$A$165,0),0),0))</f>
      </c>
      <c r="V21" s="14">
        <f>COUNTIF(SpellProperties!$AI$2:$AN$165,$A21)</f>
        <v>6</v>
      </c>
      <c r="W21" s="14">
        <f t="shared" si="0"/>
        <v>6</v>
      </c>
      <c r="X21" s="14" t="b">
        <f t="shared" si="1"/>
        <v>1</v>
      </c>
      <c r="AN21" s="1"/>
      <c r="AO21" s="1">
        <f t="shared" si="2"/>
        <v>33.6</v>
      </c>
    </row>
    <row r="22" spans="1:41" ht="12.75">
      <c r="A22" t="s">
        <v>659</v>
      </c>
      <c r="B22" s="22">
        <v>1</v>
      </c>
      <c r="C22">
        <v>4</v>
      </c>
      <c r="D22" t="s">
        <v>483</v>
      </c>
      <c r="E22" t="s">
        <v>555</v>
      </c>
      <c r="F22" t="s">
        <v>469</v>
      </c>
      <c r="G22" t="s">
        <v>554</v>
      </c>
      <c r="H22" t="s">
        <v>559</v>
      </c>
      <c r="I22" s="4" t="s">
        <v>451</v>
      </c>
      <c r="M22" s="14">
        <f ca="1">IF(ISBLANK(D22),"",MATCH($A22,OFFSET(SpellProperties!$AI$1:$AN$1,MATCH(D22,SpellProperties!$A$2:$A$165,0),0),0))</f>
        <v>2</v>
      </c>
      <c r="N22" s="14">
        <f ca="1">IF(ISBLANK(E22),"",MATCH($A22,OFFSET(SpellProperties!$AI$1:$AN$1,MATCH(E22,SpellProperties!$A$2:$A$165,0),0),0))</f>
        <v>1</v>
      </c>
      <c r="O22" s="14">
        <f ca="1">IF(ISBLANK(F22),"",MATCH($A22,OFFSET(SpellProperties!$AI$1:$AN$1,MATCH(F22,SpellProperties!$A$2:$A$165,0),0),0))</f>
        <v>1</v>
      </c>
      <c r="P22" s="14">
        <f ca="1">IF(ISBLANK(G22),"",MATCH($A22,OFFSET(SpellProperties!$AI$1:$AN$1,MATCH(G22,SpellProperties!$A$2:$A$165,0),0),0))</f>
        <v>2</v>
      </c>
      <c r="Q22" s="14">
        <f ca="1">IF(ISBLANK(H22),"",MATCH($A22,OFFSET(SpellProperties!$AI$1:$AN$1,MATCH(H22,SpellProperties!$A$2:$A$165,0),0),0))</f>
        <v>3</v>
      </c>
      <c r="R22" s="14">
        <f ca="1">IF(ISBLANK(I22),"",MATCH($A22,OFFSET(SpellProperties!$AI$1:$AN$1,MATCH(I22,SpellProperties!$A$2:$A$165,0),0),0))</f>
        <v>2</v>
      </c>
      <c r="S22" s="14">
        <f ca="1">IF(ISBLANK(J22),"",MATCH($A22,OFFSET(SpellProperties!$AI$1:$AN$1,MATCH(J22,SpellProperties!$A$2:$A$165,0),0),0))</f>
      </c>
      <c r="T22" s="14">
        <f ca="1">IF(ISBLANK(K22),"",MATCH($A22,OFFSET(SpellProperties!$AI$1:$AN$1,MATCH(K22,SpellProperties!$A$2:$A$165,0),0),0))</f>
      </c>
      <c r="V22" s="14">
        <f>COUNTIF(SpellProperties!$AI$2:$AN$165,$A22)</f>
        <v>7</v>
      </c>
      <c r="W22" s="14">
        <f t="shared" si="0"/>
        <v>6</v>
      </c>
      <c r="X22" s="14" t="b">
        <f t="shared" si="1"/>
        <v>0</v>
      </c>
      <c r="AN22" s="1"/>
      <c r="AO22" s="1">
        <f t="shared" si="2"/>
        <v>33.6</v>
      </c>
    </row>
    <row r="23" spans="1:41" ht="12.75">
      <c r="A23" t="s">
        <v>806</v>
      </c>
      <c r="B23" s="22"/>
      <c r="C23">
        <v>100</v>
      </c>
      <c r="D23" t="s">
        <v>50</v>
      </c>
      <c r="E23" t="s">
        <v>875</v>
      </c>
      <c r="F23" t="s">
        <v>876</v>
      </c>
      <c r="G23" t="s">
        <v>877</v>
      </c>
      <c r="M23" s="14">
        <f ca="1">IF(ISBLANK(D23),"",MATCH($A23,OFFSET(SpellProperties!$AI$1:$AN$1,MATCH(D23,SpellProperties!$A$2:$A$165,0),0),0))</f>
        <v>1</v>
      </c>
      <c r="N23" s="14">
        <f ca="1">IF(ISBLANK(E23),"",MATCH($A23,OFFSET(SpellProperties!$AI$1:$AN$1,MATCH(E23,SpellProperties!$A$2:$A$165,0),0),0))</f>
        <v>1</v>
      </c>
      <c r="O23" s="14">
        <f ca="1">IF(ISBLANK(F23),"",MATCH($A23,OFFSET(SpellProperties!$AI$1:$AN$1,MATCH(F23,SpellProperties!$A$2:$A$165,0),0),0))</f>
        <v>1</v>
      </c>
      <c r="P23" s="14">
        <f ca="1">IF(ISBLANK(G23),"",MATCH($A23,OFFSET(SpellProperties!$AI$1:$AN$1,MATCH(G23,SpellProperties!$A$2:$A$165,0),0),0))</f>
        <v>1</v>
      </c>
      <c r="Q23" s="14">
        <f ca="1">IF(ISBLANK(H23),"",MATCH($A23,OFFSET(SpellProperties!$AI$1:$AN$1,MATCH(H23,SpellProperties!$A$2:$A$165,0),0),0))</f>
      </c>
      <c r="R23" s="14">
        <f ca="1">IF(ISBLANK(I23),"",MATCH($A23,OFFSET(SpellProperties!$AI$1:$AN$1,MATCH(I23,SpellProperties!$A$2:$A$165,0),0),0))</f>
      </c>
      <c r="S23" s="14">
        <f ca="1">IF(ISBLANK(J23),"",MATCH($A23,OFFSET(SpellProperties!$AI$1:$AN$1,MATCH(J23,SpellProperties!$A$2:$A$165,0),0),0))</f>
      </c>
      <c r="T23" s="14">
        <f ca="1">IF(ISBLANK(K23),"",MATCH($A23,OFFSET(SpellProperties!$AI$1:$AN$1,MATCH(K23,SpellProperties!$A$2:$A$165,0),0),0))</f>
      </c>
      <c r="V23" s="14">
        <f>COUNTIF(SpellProperties!$AI$2:$AN$165,$A23)</f>
        <v>4</v>
      </c>
      <c r="W23" s="14">
        <f t="shared" si="0"/>
        <v>4</v>
      </c>
      <c r="X23" s="14" t="b">
        <f t="shared" si="1"/>
        <v>1</v>
      </c>
      <c r="AN23" s="1"/>
      <c r="AO23" s="1">
        <f t="shared" si="2"/>
        <v>33.6</v>
      </c>
    </row>
    <row r="24" spans="1:41" ht="12.75">
      <c r="A24" t="s">
        <v>1015</v>
      </c>
      <c r="B24" s="22"/>
      <c r="C24">
        <v>1</v>
      </c>
      <c r="D24" t="s">
        <v>385</v>
      </c>
      <c r="E24" t="s">
        <v>491</v>
      </c>
      <c r="F24" t="s">
        <v>389</v>
      </c>
      <c r="G24" t="s">
        <v>468</v>
      </c>
      <c r="M24" s="14">
        <f ca="1">IF(ISBLANK(D24),"",MATCH($A24,OFFSET(SpellProperties!$AI$1:$AN$1,MATCH(D24,SpellProperties!$A$2:$A$165,0),0),0))</f>
        <v>1</v>
      </c>
      <c r="N24" s="14">
        <f ca="1">IF(ISBLANK(E24),"",MATCH($A24,OFFSET(SpellProperties!$AI$1:$AN$1,MATCH(E24,SpellProperties!$A$2:$A$165,0),0),0))</f>
        <v>2</v>
      </c>
      <c r="O24" s="14">
        <f ca="1">IF(ISBLANK(F24),"",MATCH($A24,OFFSET(SpellProperties!$AI$1:$AN$1,MATCH(F24,SpellProperties!$A$2:$A$165,0),0),0))</f>
        <v>1</v>
      </c>
      <c r="P24" s="14">
        <f ca="1">IF(ISBLANK(G24),"",MATCH($A24,OFFSET(SpellProperties!$AI$1:$AN$1,MATCH(G24,SpellProperties!$A$2:$A$165,0),0),0))</f>
        <v>1</v>
      </c>
      <c r="Q24" s="14">
        <f ca="1">IF(ISBLANK(H24),"",MATCH($A24,OFFSET(SpellProperties!$AI$1:$AN$1,MATCH(H24,SpellProperties!$A$2:$A$165,0),0),0))</f>
      </c>
      <c r="R24" s="14">
        <f ca="1">IF(ISBLANK(I24),"",MATCH($A24,OFFSET(SpellProperties!$AI$1:$AN$1,MATCH(I24,SpellProperties!$A$2:$A$165,0),0),0))</f>
      </c>
      <c r="S24" s="14">
        <f ca="1">IF(ISBLANK(J24),"",MATCH($A24,OFFSET(SpellProperties!$AI$1:$AN$1,MATCH(J24,SpellProperties!$A$2:$A$165,0),0),0))</f>
      </c>
      <c r="T24" s="14">
        <f ca="1">IF(ISBLANK(K24),"",MATCH($A24,OFFSET(SpellProperties!$AI$1:$AN$1,MATCH(K24,SpellProperties!$A$2:$A$165,0),0),0))</f>
      </c>
      <c r="V24" s="14">
        <f>COUNTIF(SpellProperties!$AI$2:$AN$165,$A24)</f>
        <v>4</v>
      </c>
      <c r="W24" s="14">
        <f t="shared" si="0"/>
        <v>4</v>
      </c>
      <c r="X24" s="14" t="b">
        <f t="shared" si="1"/>
        <v>1</v>
      </c>
      <c r="AN24" s="1"/>
      <c r="AO24" s="1">
        <f t="shared" si="2"/>
        <v>33.6</v>
      </c>
    </row>
    <row r="25" spans="1:41" ht="12.75">
      <c r="A25" t="s">
        <v>367</v>
      </c>
      <c r="B25" s="22">
        <v>1</v>
      </c>
      <c r="C25">
        <v>10</v>
      </c>
      <c r="D25" t="s">
        <v>441</v>
      </c>
      <c r="E25" s="4" t="s">
        <v>387</v>
      </c>
      <c r="F25" t="s">
        <v>399</v>
      </c>
      <c r="G25" t="s">
        <v>366</v>
      </c>
      <c r="H25" s="4" t="s">
        <v>466</v>
      </c>
      <c r="I25" s="4" t="s">
        <v>462</v>
      </c>
      <c r="J25" s="4" t="s">
        <v>490</v>
      </c>
      <c r="M25" s="14">
        <f ca="1">IF(ISBLANK(D25),"",MATCH($A25,OFFSET(SpellProperties!$AI$1:$AN$1,MATCH(D25,SpellProperties!$A$2:$A$165,0),0),0))</f>
        <v>1</v>
      </c>
      <c r="N25" s="14">
        <f ca="1">IF(ISBLANK(E25),"",MATCH($A25,OFFSET(SpellProperties!$AI$1:$AN$1,MATCH(E25,SpellProperties!$A$2:$A$165,0),0),0))</f>
        <v>1</v>
      </c>
      <c r="O25" s="14">
        <f ca="1">IF(ISBLANK(F25),"",MATCH($A25,OFFSET(SpellProperties!$AI$1:$AN$1,MATCH(F25,SpellProperties!$A$2:$A$165,0),0),0))</f>
        <v>1</v>
      </c>
      <c r="P25" s="14">
        <f ca="1">IF(ISBLANK(G25),"",MATCH($A25,OFFSET(SpellProperties!$AI$1:$AN$1,MATCH(G25,SpellProperties!$A$2:$A$165,0),0),0))</f>
        <v>2</v>
      </c>
      <c r="Q25" s="14">
        <f ca="1">IF(ISBLANK(H25),"",MATCH($A25,OFFSET(SpellProperties!$AI$1:$AN$1,MATCH(H25,SpellProperties!$A$2:$A$165,0),0),0))</f>
        <v>1</v>
      </c>
      <c r="R25" s="14">
        <f ca="1">IF(ISBLANK(I25),"",MATCH($A25,OFFSET(SpellProperties!$AI$1:$AN$1,MATCH(I25,SpellProperties!$A$2:$A$165,0),0),0))</f>
        <v>1</v>
      </c>
      <c r="S25" s="14">
        <f ca="1">IF(ISBLANK(J25),"",MATCH($A25,OFFSET(SpellProperties!$AI$1:$AN$1,MATCH(J25,SpellProperties!$A$2:$A$165,0),0),0))</f>
        <v>1</v>
      </c>
      <c r="T25" s="14">
        <f ca="1">IF(ISBLANK(K25),"",MATCH($A25,OFFSET(SpellProperties!$AI$1:$AN$1,MATCH(K25,SpellProperties!$A$2:$A$165,0),0),0))</f>
      </c>
      <c r="V25" s="14">
        <f>COUNTIF(SpellProperties!$AI$2:$AN$165,$A25)</f>
        <v>7</v>
      </c>
      <c r="W25" s="14">
        <f t="shared" si="0"/>
        <v>7</v>
      </c>
      <c r="X25" s="14" t="b">
        <f t="shared" si="1"/>
        <v>1</v>
      </c>
      <c r="AN25" s="1"/>
      <c r="AO25" s="1">
        <f t="shared" si="2"/>
        <v>33.6</v>
      </c>
    </row>
    <row r="26" spans="1:41" ht="12.75">
      <c r="A26" s="15" t="s">
        <v>1028</v>
      </c>
      <c r="B26" s="23">
        <f>IF(SUM(B27:B29)&gt;0,1,0)</f>
        <v>1</v>
      </c>
      <c r="C26" s="15">
        <f>AVERAGE(C27:C29)</f>
        <v>1</v>
      </c>
      <c r="D26" t="s">
        <v>456</v>
      </c>
      <c r="E26" t="s">
        <v>425</v>
      </c>
      <c r="F26" t="s">
        <v>491</v>
      </c>
      <c r="G26" t="s">
        <v>461</v>
      </c>
      <c r="M26" s="14">
        <f ca="1">IF(ISBLANK(D26),"",MATCH($A26,OFFSET(SpellProperties!$AI$1:$AN$1,MATCH(D26,SpellProperties!$A$2:$A$165,0),0),0))</f>
        <v>1</v>
      </c>
      <c r="N26" s="14">
        <f ca="1">IF(ISBLANK(E26),"",MATCH($A26,OFFSET(SpellProperties!$AI$1:$AN$1,MATCH(E26,SpellProperties!$A$2:$A$165,0),0),0))</f>
        <v>1</v>
      </c>
      <c r="O26" s="14">
        <f ca="1">IF(ISBLANK(F26),"",MATCH($A26,OFFSET(SpellProperties!$AI$1:$AN$1,MATCH(F26,SpellProperties!$A$2:$A$165,0),0),0))</f>
        <v>1</v>
      </c>
      <c r="P26" s="14">
        <f ca="1">IF(ISBLANK(G26),"",MATCH($A26,OFFSET(SpellProperties!$AI$1:$AN$1,MATCH(G26,SpellProperties!$A$2:$A$165,0),0),0))</f>
        <v>1</v>
      </c>
      <c r="Q26" s="14">
        <f ca="1">IF(ISBLANK(H26),"",MATCH($A26,OFFSET(SpellProperties!$AI$1:$AN$1,MATCH(H26,SpellProperties!$A$2:$A$165,0),0),0))</f>
      </c>
      <c r="R26" s="14">
        <f ca="1">IF(ISBLANK(I26),"",MATCH($A26,OFFSET(SpellProperties!$AI$1:$AN$1,MATCH(I26,SpellProperties!$A$2:$A$165,0),0),0))</f>
      </c>
      <c r="S26" s="14">
        <f ca="1">IF(ISBLANK(J26),"",MATCH($A26,OFFSET(SpellProperties!$AI$1:$AN$1,MATCH(J26,SpellProperties!$A$2:$A$165,0),0),0))</f>
      </c>
      <c r="T26" s="14">
        <f ca="1">IF(ISBLANK(K26),"",MATCH($A26,OFFSET(SpellProperties!$AI$1:$AN$1,MATCH(K26,SpellProperties!$A$2:$A$165,0),0),0))</f>
      </c>
      <c r="V26" s="14">
        <f>COUNTIF(SpellProperties!$AI$2:$AN$165,$A26)</f>
        <v>4</v>
      </c>
      <c r="W26" s="14">
        <f t="shared" si="0"/>
        <v>4</v>
      </c>
      <c r="X26" s="14" t="b">
        <f t="shared" si="1"/>
        <v>1</v>
      </c>
      <c r="AN26" s="1"/>
      <c r="AO26" s="1">
        <f t="shared" si="2"/>
        <v>33.6</v>
      </c>
    </row>
    <row r="27" spans="1:41" ht="12.75">
      <c r="A27" t="s">
        <v>1009</v>
      </c>
      <c r="B27" s="22">
        <v>1</v>
      </c>
      <c r="C27">
        <v>1</v>
      </c>
      <c r="D27" t="s">
        <v>456</v>
      </c>
      <c r="E27" s="4" t="s">
        <v>564</v>
      </c>
      <c r="F27" t="s">
        <v>572</v>
      </c>
      <c r="G27" t="s">
        <v>425</v>
      </c>
      <c r="H27" t="s">
        <v>491</v>
      </c>
      <c r="I27" t="s">
        <v>461</v>
      </c>
      <c r="J27" t="s">
        <v>363</v>
      </c>
      <c r="M27" s="14" t="e">
        <f ca="1">IF(ISBLANK(D27),"",MATCH($A27,OFFSET(SpellProperties!$AI$1:$AN$1,MATCH(D27,SpellProperties!$A$2:$A$165,0),0),0))</f>
        <v>#N/A</v>
      </c>
      <c r="N27" s="14">
        <f ca="1">IF(ISBLANK(E27),"",MATCH($A27,OFFSET(SpellProperties!$AI$1:$AN$1,MATCH(E27,SpellProperties!$A$2:$A$165,0),0),0))</f>
        <v>1</v>
      </c>
      <c r="O27" s="14">
        <f ca="1">IF(ISBLANK(F27),"",MATCH($A27,OFFSET(SpellProperties!$AI$1:$AN$1,MATCH(F27,SpellProperties!$A$2:$A$165,0),0),0))</f>
        <v>1</v>
      </c>
      <c r="P27" s="14" t="e">
        <f ca="1">IF(ISBLANK(G27),"",MATCH($A27,OFFSET(SpellProperties!$AI$1:$AN$1,MATCH(G27,SpellProperties!$A$2:$A$165,0),0),0))</f>
        <v>#N/A</v>
      </c>
      <c r="Q27" s="14" t="e">
        <f ca="1">IF(ISBLANK(H27),"",MATCH($A27,OFFSET(SpellProperties!$AI$1:$AN$1,MATCH(H27,SpellProperties!$A$2:$A$165,0),0),0))</f>
        <v>#N/A</v>
      </c>
      <c r="R27" s="14" t="e">
        <f ca="1">IF(ISBLANK(I27),"",MATCH($A27,OFFSET(SpellProperties!$AI$1:$AN$1,MATCH(I27,SpellProperties!$A$2:$A$165,0),0),0))</f>
        <v>#N/A</v>
      </c>
      <c r="S27" s="14">
        <f ca="1">IF(ISBLANK(J27),"",MATCH($A27,OFFSET(SpellProperties!$AI$1:$AN$1,MATCH(J27,SpellProperties!$A$2:$A$165,0),0),0))</f>
        <v>1</v>
      </c>
      <c r="T27" s="14">
        <f ca="1">IF(ISBLANK(K27),"",MATCH($A27,OFFSET(SpellProperties!$AI$1:$AN$1,MATCH(K27,SpellProperties!$A$2:$A$165,0),0),0))</f>
      </c>
      <c r="V27" s="14">
        <f>COUNTIF(SpellProperties!$AI$2:$AN$165,$A27)</f>
        <v>3</v>
      </c>
      <c r="W27" s="14">
        <f t="shared" si="0"/>
        <v>7</v>
      </c>
      <c r="X27" s="14" t="b">
        <f t="shared" si="1"/>
        <v>0</v>
      </c>
      <c r="AN27" s="1"/>
      <c r="AO27" s="1">
        <f t="shared" si="2"/>
        <v>33.6</v>
      </c>
    </row>
    <row r="28" spans="1:41" ht="12.75">
      <c r="A28" t="s">
        <v>1010</v>
      </c>
      <c r="B28" s="22">
        <v>1</v>
      </c>
      <c r="C28">
        <v>1</v>
      </c>
      <c r="D28" t="s">
        <v>456</v>
      </c>
      <c r="E28" t="s">
        <v>573</v>
      </c>
      <c r="F28" t="s">
        <v>425</v>
      </c>
      <c r="G28" t="s">
        <v>551</v>
      </c>
      <c r="H28" t="s">
        <v>491</v>
      </c>
      <c r="I28" t="s">
        <v>461</v>
      </c>
      <c r="J28" t="s">
        <v>465</v>
      </c>
      <c r="M28" s="14" t="e">
        <f ca="1">IF(ISBLANK(D28),"",MATCH($A28,OFFSET(SpellProperties!$AI$1:$AN$1,MATCH(D28,SpellProperties!$A$2:$A$165,0),0),0))</f>
        <v>#N/A</v>
      </c>
      <c r="N28" s="14">
        <f ca="1">IF(ISBLANK(E28),"",MATCH($A28,OFFSET(SpellProperties!$AI$1:$AN$1,MATCH(E28,SpellProperties!$A$2:$A$165,0),0),0))</f>
        <v>1</v>
      </c>
      <c r="O28" s="14" t="e">
        <f ca="1">IF(ISBLANK(F28),"",MATCH($A28,OFFSET(SpellProperties!$AI$1:$AN$1,MATCH(F28,SpellProperties!$A$2:$A$165,0),0),0))</f>
        <v>#N/A</v>
      </c>
      <c r="P28" s="14">
        <f ca="1">IF(ISBLANK(G28),"",MATCH($A28,OFFSET(SpellProperties!$AI$1:$AN$1,MATCH(G28,SpellProperties!$A$2:$A$165,0),0),0))</f>
        <v>1</v>
      </c>
      <c r="Q28" s="14" t="e">
        <f ca="1">IF(ISBLANK(H28),"",MATCH($A28,OFFSET(SpellProperties!$AI$1:$AN$1,MATCH(H28,SpellProperties!$A$2:$A$165,0),0),0))</f>
        <v>#N/A</v>
      </c>
      <c r="R28" s="14" t="e">
        <f ca="1">IF(ISBLANK(I28),"",MATCH($A28,OFFSET(SpellProperties!$AI$1:$AN$1,MATCH(I28,SpellProperties!$A$2:$A$165,0),0),0))</f>
        <v>#N/A</v>
      </c>
      <c r="S28" s="14">
        <f ca="1">IF(ISBLANK(J28),"",MATCH($A28,OFFSET(SpellProperties!$AI$1:$AN$1,MATCH(J28,SpellProperties!$A$2:$A$165,0),0),0))</f>
        <v>1</v>
      </c>
      <c r="T28" s="14">
        <f ca="1">IF(ISBLANK(K28),"",MATCH($A28,OFFSET(SpellProperties!$AI$1:$AN$1,MATCH(K28,SpellProperties!$A$2:$A$165,0),0),0))</f>
      </c>
      <c r="V28" s="14">
        <f>COUNTIF(SpellProperties!$AI$2:$AN$165,$A28)</f>
        <v>3</v>
      </c>
      <c r="W28" s="14">
        <f t="shared" si="0"/>
        <v>7</v>
      </c>
      <c r="X28" s="14" t="b">
        <f t="shared" si="1"/>
        <v>0</v>
      </c>
      <c r="AN28" s="1"/>
      <c r="AO28" s="1">
        <f t="shared" si="2"/>
        <v>33.6</v>
      </c>
    </row>
    <row r="29" spans="1:41" ht="12.75">
      <c r="A29" t="s">
        <v>1011</v>
      </c>
      <c r="B29" s="22"/>
      <c r="C29">
        <v>1</v>
      </c>
      <c r="D29" t="s">
        <v>456</v>
      </c>
      <c r="E29" s="4" t="s">
        <v>564</v>
      </c>
      <c r="F29" t="s">
        <v>425</v>
      </c>
      <c r="G29" t="s">
        <v>480</v>
      </c>
      <c r="H29" t="s">
        <v>491</v>
      </c>
      <c r="I29" t="s">
        <v>415</v>
      </c>
      <c r="J29" t="s">
        <v>461</v>
      </c>
      <c r="M29" s="14" t="e">
        <f ca="1">IF(ISBLANK(D29),"",MATCH($A29,OFFSET(SpellProperties!$AI$1:$AN$1,MATCH(D29,SpellProperties!$A$2:$A$165,0),0),0))</f>
        <v>#N/A</v>
      </c>
      <c r="N29" s="14">
        <f ca="1">IF(ISBLANK(E29),"",MATCH($A29,OFFSET(SpellProperties!$AI$1:$AN$1,MATCH(E29,SpellProperties!$A$2:$A$165,0),0),0))</f>
        <v>2</v>
      </c>
      <c r="O29" s="14" t="e">
        <f ca="1">IF(ISBLANK(F29),"",MATCH($A29,OFFSET(SpellProperties!$AI$1:$AN$1,MATCH(F29,SpellProperties!$A$2:$A$165,0),0),0))</f>
        <v>#N/A</v>
      </c>
      <c r="P29" s="14">
        <f ca="1">IF(ISBLANK(G29),"",MATCH($A29,OFFSET(SpellProperties!$AI$1:$AN$1,MATCH(G29,SpellProperties!$A$2:$A$165,0),0),0))</f>
        <v>4</v>
      </c>
      <c r="Q29" s="14" t="e">
        <f ca="1">IF(ISBLANK(H29),"",MATCH($A29,OFFSET(SpellProperties!$AI$1:$AN$1,MATCH(H29,SpellProperties!$A$2:$A$165,0),0),0))</f>
        <v>#N/A</v>
      </c>
      <c r="R29" s="14">
        <f ca="1">IF(ISBLANK(I29),"",MATCH($A29,OFFSET(SpellProperties!$AI$1:$AN$1,MATCH(I29,SpellProperties!$A$2:$A$165,0),0),0))</f>
        <v>1</v>
      </c>
      <c r="S29" s="14" t="e">
        <f ca="1">IF(ISBLANK(J29),"",MATCH($A29,OFFSET(SpellProperties!$AI$1:$AN$1,MATCH(J29,SpellProperties!$A$2:$A$165,0),0),0))</f>
        <v>#N/A</v>
      </c>
      <c r="T29" s="14">
        <f ca="1">IF(ISBLANK(K29),"",MATCH($A29,OFFSET(SpellProperties!$AI$1:$AN$1,MATCH(K29,SpellProperties!$A$2:$A$165,0),0),0))</f>
      </c>
      <c r="V29" s="14">
        <f>COUNTIF(SpellProperties!$AI$2:$AN$165,$A29)</f>
        <v>3</v>
      </c>
      <c r="W29" s="14">
        <f t="shared" si="0"/>
        <v>7</v>
      </c>
      <c r="X29" s="14" t="b">
        <f t="shared" si="1"/>
        <v>0</v>
      </c>
      <c r="AN29" s="1"/>
      <c r="AO29" s="1">
        <f t="shared" si="2"/>
        <v>33.6</v>
      </c>
    </row>
    <row r="30" spans="1:41" ht="12.75">
      <c r="A30" s="4" t="s">
        <v>39</v>
      </c>
      <c r="B30" s="22"/>
      <c r="C30">
        <v>12</v>
      </c>
      <c r="D30" s="4" t="s">
        <v>451</v>
      </c>
      <c r="E30" s="4" t="s">
        <v>473</v>
      </c>
      <c r="F30" t="s">
        <v>422</v>
      </c>
      <c r="G30" s="4" t="s">
        <v>407</v>
      </c>
      <c r="H30" t="s">
        <v>487</v>
      </c>
      <c r="M30" s="14">
        <f ca="1">IF(ISBLANK(D30),"",MATCH($A30,OFFSET(SpellProperties!$AI$1:$AN$1,MATCH(D30,SpellProperties!$A$2:$A$165,0),0),0))</f>
        <v>1</v>
      </c>
      <c r="N30" s="14">
        <f ca="1">IF(ISBLANK(E30),"",MATCH($A30,OFFSET(SpellProperties!$AI$1:$AN$1,MATCH(E30,SpellProperties!$A$2:$A$165,0),0),0))</f>
        <v>2</v>
      </c>
      <c r="O30" s="14">
        <f ca="1">IF(ISBLANK(F30),"",MATCH($A30,OFFSET(SpellProperties!$AI$1:$AN$1,MATCH(F30,SpellProperties!$A$2:$A$165,0),0),0))</f>
        <v>2</v>
      </c>
      <c r="P30" s="14">
        <f ca="1">IF(ISBLANK(G30),"",MATCH($A30,OFFSET(SpellProperties!$AI$1:$AN$1,MATCH(G30,SpellProperties!$A$2:$A$165,0),0),0))</f>
        <v>1</v>
      </c>
      <c r="Q30" s="14">
        <f ca="1">IF(ISBLANK(H30),"",MATCH($A30,OFFSET(SpellProperties!$AI$1:$AN$1,MATCH(H30,SpellProperties!$A$2:$A$165,0),0),0))</f>
        <v>2</v>
      </c>
      <c r="R30" s="14">
        <f ca="1">IF(ISBLANK(I30),"",MATCH($A30,OFFSET(SpellProperties!$AI$1:$AN$1,MATCH(I30,SpellProperties!$A$2:$A$165,0),0),0))</f>
      </c>
      <c r="S30" s="14">
        <f ca="1">IF(ISBLANK(J30),"",MATCH($A30,OFFSET(SpellProperties!$AI$1:$AN$1,MATCH(J30,SpellProperties!$A$2:$A$165,0),0),0))</f>
      </c>
      <c r="T30" s="14">
        <f ca="1">IF(ISBLANK(K30),"",MATCH($A30,OFFSET(SpellProperties!$AI$1:$AN$1,MATCH(K30,SpellProperties!$A$2:$A$165,0),0),0))</f>
      </c>
      <c r="V30" s="14">
        <f>COUNTIF(SpellProperties!$AI$2:$AN$165,$A30)</f>
        <v>5</v>
      </c>
      <c r="W30" s="14">
        <f t="shared" si="0"/>
        <v>5</v>
      </c>
      <c r="X30" s="14" t="b">
        <f t="shared" si="1"/>
        <v>1</v>
      </c>
      <c r="AN30" s="1"/>
      <c r="AO30" s="1">
        <f t="shared" si="2"/>
        <v>33.6</v>
      </c>
    </row>
    <row r="31" spans="1:41" ht="12.75">
      <c r="A31" t="s">
        <v>371</v>
      </c>
      <c r="B31" s="22">
        <v>1</v>
      </c>
      <c r="C31">
        <v>3</v>
      </c>
      <c r="D31" t="s">
        <v>467</v>
      </c>
      <c r="E31" s="4" t="s">
        <v>401</v>
      </c>
      <c r="F31" t="s">
        <v>579</v>
      </c>
      <c r="G31" t="s">
        <v>478</v>
      </c>
      <c r="H31" t="s">
        <v>405</v>
      </c>
      <c r="I31" t="s">
        <v>404</v>
      </c>
      <c r="M31" s="14">
        <f ca="1">IF(ISBLANK(D31),"",MATCH($A31,OFFSET(SpellProperties!$AI$1:$AN$1,MATCH(D31,SpellProperties!$A$2:$A$165,0),0),0))</f>
        <v>1</v>
      </c>
      <c r="N31" s="14">
        <f ca="1">IF(ISBLANK(E31),"",MATCH($A31,OFFSET(SpellProperties!$AI$1:$AN$1,MATCH(E31,SpellProperties!$A$2:$A$165,0),0),0))</f>
        <v>1</v>
      </c>
      <c r="O31" s="14">
        <f ca="1">IF(ISBLANK(F31),"",MATCH($A31,OFFSET(SpellProperties!$AI$1:$AN$1,MATCH(F31,SpellProperties!$A$2:$A$165,0),0),0))</f>
        <v>1</v>
      </c>
      <c r="P31" s="14">
        <f ca="1">IF(ISBLANK(G31),"",MATCH($A31,OFFSET(SpellProperties!$AI$1:$AN$1,MATCH(G31,SpellProperties!$A$2:$A$165,0),0),0))</f>
        <v>2</v>
      </c>
      <c r="Q31" s="14">
        <f ca="1">IF(ISBLANK(H31),"",MATCH($A31,OFFSET(SpellProperties!$AI$1:$AN$1,MATCH(H31,SpellProperties!$A$2:$A$165,0),0),0))</f>
        <v>1</v>
      </c>
      <c r="R31" s="14">
        <f ca="1">IF(ISBLANK(I31),"",MATCH($A31,OFFSET(SpellProperties!$AI$1:$AN$1,MATCH(I31,SpellProperties!$A$2:$A$165,0),0),0))</f>
        <v>1</v>
      </c>
      <c r="S31" s="14">
        <f ca="1">IF(ISBLANK(J31),"",MATCH($A31,OFFSET(SpellProperties!$AI$1:$AN$1,MATCH(J31,SpellProperties!$A$2:$A$165,0),0),0))</f>
      </c>
      <c r="T31" s="14">
        <f ca="1">IF(ISBLANK(K31),"",MATCH($A31,OFFSET(SpellProperties!$AI$1:$AN$1,MATCH(K31,SpellProperties!$A$2:$A$165,0),0),0))</f>
      </c>
      <c r="V31" s="14">
        <f>COUNTIF(SpellProperties!$AI$2:$AN$165,$A31)</f>
        <v>6</v>
      </c>
      <c r="W31" s="14">
        <f t="shared" si="0"/>
        <v>6</v>
      </c>
      <c r="X31" s="14" t="b">
        <f t="shared" si="1"/>
        <v>1</v>
      </c>
      <c r="AN31" s="1"/>
      <c r="AO31" s="1">
        <f t="shared" si="2"/>
        <v>33.6</v>
      </c>
    </row>
    <row r="32" spans="1:41" ht="12.75">
      <c r="A32" t="s">
        <v>622</v>
      </c>
      <c r="B32" s="22"/>
      <c r="C32">
        <v>20</v>
      </c>
      <c r="D32" t="s">
        <v>568</v>
      </c>
      <c r="E32" t="s">
        <v>394</v>
      </c>
      <c r="F32" t="s">
        <v>565</v>
      </c>
      <c r="G32" t="s">
        <v>395</v>
      </c>
      <c r="H32" t="s">
        <v>463</v>
      </c>
      <c r="I32" t="s">
        <v>409</v>
      </c>
      <c r="M32" s="14">
        <f ca="1">IF(ISBLANK(D32),"",MATCH($A32,OFFSET(SpellProperties!$AI$1:$AN$1,MATCH(D32,SpellProperties!$A$2:$A$165,0),0),0))</f>
        <v>1</v>
      </c>
      <c r="N32" s="14">
        <f ca="1">IF(ISBLANK(E32),"",MATCH($A32,OFFSET(SpellProperties!$AI$1:$AN$1,MATCH(E32,SpellProperties!$A$2:$A$165,0),0),0))</f>
        <v>1</v>
      </c>
      <c r="O32" s="14">
        <f ca="1">IF(ISBLANK(F32),"",MATCH($A32,OFFSET(SpellProperties!$AI$1:$AN$1,MATCH(F32,SpellProperties!$A$2:$A$165,0),0),0))</f>
        <v>2</v>
      </c>
      <c r="P32" s="14">
        <f ca="1">IF(ISBLANK(G32),"",MATCH($A32,OFFSET(SpellProperties!$AI$1:$AN$1,MATCH(G32,SpellProperties!$A$2:$A$165,0),0),0))</f>
        <v>1</v>
      </c>
      <c r="Q32" s="14">
        <f ca="1">IF(ISBLANK(H32),"",MATCH($A32,OFFSET(SpellProperties!$AI$1:$AN$1,MATCH(H32,SpellProperties!$A$2:$A$165,0),0),0))</f>
        <v>1</v>
      </c>
      <c r="R32" s="14">
        <f ca="1">IF(ISBLANK(I32),"",MATCH($A32,OFFSET(SpellProperties!$AI$1:$AN$1,MATCH(I32,SpellProperties!$A$2:$A$165,0),0),0))</f>
        <v>1</v>
      </c>
      <c r="S32" s="14">
        <f ca="1">IF(ISBLANK(J32),"",MATCH($A32,OFFSET(SpellProperties!$AI$1:$AN$1,MATCH(J32,SpellProperties!$A$2:$A$165,0),0),0))</f>
      </c>
      <c r="T32" s="14">
        <f ca="1">IF(ISBLANK(K32),"",MATCH($A32,OFFSET(SpellProperties!$AI$1:$AN$1,MATCH(K32,SpellProperties!$A$2:$A$165,0),0),0))</f>
      </c>
      <c r="V32" s="14">
        <f>COUNTIF(SpellProperties!$AI$2:$AN$165,$A32)</f>
        <v>6</v>
      </c>
      <c r="W32" s="14">
        <f t="shared" si="0"/>
        <v>6</v>
      </c>
      <c r="X32" s="14" t="b">
        <f t="shared" si="1"/>
        <v>1</v>
      </c>
      <c r="AN32" s="1"/>
      <c r="AO32" s="1">
        <f t="shared" si="2"/>
        <v>33.6</v>
      </c>
    </row>
    <row r="33" spans="1:41" ht="12.75">
      <c r="A33" t="s">
        <v>682</v>
      </c>
      <c r="B33" s="22">
        <v>1</v>
      </c>
      <c r="C33">
        <v>7</v>
      </c>
      <c r="D33" t="s">
        <v>557</v>
      </c>
      <c r="E33" s="4" t="s">
        <v>424</v>
      </c>
      <c r="F33" t="s">
        <v>475</v>
      </c>
      <c r="G33" t="s">
        <v>425</v>
      </c>
      <c r="H33" t="s">
        <v>454</v>
      </c>
      <c r="I33" s="4" t="s">
        <v>412</v>
      </c>
      <c r="M33" s="14">
        <f ca="1">IF(ISBLANK(D33),"",MATCH($A33,OFFSET(SpellProperties!$AI$1:$AN$1,MATCH(D33,SpellProperties!$A$2:$A$165,0),0),0))</f>
        <v>1</v>
      </c>
      <c r="N33" s="14">
        <f ca="1">IF(ISBLANK(E33),"",MATCH($A33,OFFSET(SpellProperties!$AI$1:$AN$1,MATCH(E33,SpellProperties!$A$2:$A$165,0),0),0))</f>
        <v>3</v>
      </c>
      <c r="O33" s="14">
        <f ca="1">IF(ISBLANK(F33),"",MATCH($A33,OFFSET(SpellProperties!$AI$1:$AN$1,MATCH(F33,SpellProperties!$A$2:$A$165,0),0),0))</f>
        <v>2</v>
      </c>
      <c r="P33" s="14">
        <f ca="1">IF(ISBLANK(G33),"",MATCH($A33,OFFSET(SpellProperties!$AI$1:$AN$1,MATCH(G33,SpellProperties!$A$2:$A$165,0),0),0))</f>
        <v>3</v>
      </c>
      <c r="Q33" s="14">
        <f ca="1">IF(ISBLANK(H33),"",MATCH($A33,OFFSET(SpellProperties!$AI$1:$AN$1,MATCH(H33,SpellProperties!$A$2:$A$165,0),0),0))</f>
        <v>3</v>
      </c>
      <c r="R33" s="14">
        <f ca="1">IF(ISBLANK(I33),"",MATCH($A33,OFFSET(SpellProperties!$AI$1:$AN$1,MATCH(I33,SpellProperties!$A$2:$A$165,0),0),0))</f>
        <v>1</v>
      </c>
      <c r="S33" s="14">
        <f ca="1">IF(ISBLANK(J33),"",MATCH($A33,OFFSET(SpellProperties!$AI$1:$AN$1,MATCH(J33,SpellProperties!$A$2:$A$165,0),0),0))</f>
      </c>
      <c r="T33" s="14">
        <f ca="1">IF(ISBLANK(K33),"",MATCH($A33,OFFSET(SpellProperties!$AI$1:$AN$1,MATCH(K33,SpellProperties!$A$2:$A$165,0),0),0))</f>
      </c>
      <c r="V33" s="14">
        <f>COUNTIF(SpellProperties!$AI$2:$AN$165,$A33)</f>
        <v>6</v>
      </c>
      <c r="W33" s="14">
        <f t="shared" si="0"/>
        <v>6</v>
      </c>
      <c r="X33" s="14" t="b">
        <f t="shared" si="1"/>
        <v>1</v>
      </c>
      <c r="AN33" s="1"/>
      <c r="AO33" s="1">
        <f t="shared" si="2"/>
        <v>33.6</v>
      </c>
    </row>
    <row r="34" spans="1:41" ht="12.75">
      <c r="A34" t="s">
        <v>702</v>
      </c>
      <c r="B34" s="22">
        <v>1</v>
      </c>
      <c r="C34">
        <v>6</v>
      </c>
      <c r="D34" t="s">
        <v>404</v>
      </c>
      <c r="E34" s="4" t="s">
        <v>570</v>
      </c>
      <c r="F34" t="s">
        <v>580</v>
      </c>
      <c r="G34" t="s">
        <v>372</v>
      </c>
      <c r="H34" t="s">
        <v>449</v>
      </c>
      <c r="I34" t="s">
        <v>459</v>
      </c>
      <c r="J34" t="s">
        <v>472</v>
      </c>
      <c r="M34" s="14">
        <f ca="1">IF(ISBLANK(D34),"",MATCH($A34,OFFSET(SpellProperties!$AI$1:$AN$1,MATCH(D34,SpellProperties!$A$2:$A$165,0),0),0))</f>
        <v>3</v>
      </c>
      <c r="N34" s="14">
        <f ca="1">IF(ISBLANK(E34),"",MATCH($A34,OFFSET(SpellProperties!$AI$1:$AN$1,MATCH(E34,SpellProperties!$A$2:$A$165,0),0),0))</f>
        <v>1</v>
      </c>
      <c r="O34" s="14">
        <f ca="1">IF(ISBLANK(F34),"",MATCH($A34,OFFSET(SpellProperties!$AI$1:$AN$1,MATCH(F34,SpellProperties!$A$2:$A$165,0),0),0))</f>
        <v>2</v>
      </c>
      <c r="P34" s="14">
        <f ca="1">IF(ISBLANK(G34),"",MATCH($A34,OFFSET(SpellProperties!$AI$1:$AN$1,MATCH(G34,SpellProperties!$A$2:$A$165,0),0),0))</f>
        <v>1</v>
      </c>
      <c r="Q34" s="14">
        <f ca="1">IF(ISBLANK(H34),"",MATCH($A34,OFFSET(SpellProperties!$AI$1:$AN$1,MATCH(H34,SpellProperties!$A$2:$A$165,0),0),0))</f>
        <v>2</v>
      </c>
      <c r="R34" s="14">
        <f ca="1">IF(ISBLANK(I34),"",MATCH($A34,OFFSET(SpellProperties!$AI$1:$AN$1,MATCH(I34,SpellProperties!$A$2:$A$165,0),0),0))</f>
        <v>2</v>
      </c>
      <c r="S34" s="14">
        <f ca="1">IF(ISBLANK(J34),"",MATCH($A34,OFFSET(SpellProperties!$AI$1:$AN$1,MATCH(J34,SpellProperties!$A$2:$A$165,0),0),0))</f>
        <v>3</v>
      </c>
      <c r="T34" s="14">
        <f ca="1">IF(ISBLANK(K34),"",MATCH($A34,OFFSET(SpellProperties!$AI$1:$AN$1,MATCH(K34,SpellProperties!$A$2:$A$165,0),0),0))</f>
      </c>
      <c r="V34" s="14">
        <f>COUNTIF(SpellProperties!$AI$2:$AN$165,$A34)</f>
        <v>7</v>
      </c>
      <c r="W34" s="14">
        <f t="shared" si="0"/>
        <v>7</v>
      </c>
      <c r="X34" s="14" t="b">
        <f t="shared" si="1"/>
        <v>1</v>
      </c>
      <c r="AN34" s="1"/>
      <c r="AO34" s="1">
        <f t="shared" si="2"/>
        <v>33.6</v>
      </c>
    </row>
    <row r="35" spans="1:41" ht="12.75">
      <c r="A35" t="s">
        <v>1017</v>
      </c>
      <c r="B35" s="22">
        <v>1</v>
      </c>
      <c r="C35">
        <v>3</v>
      </c>
      <c r="D35" t="s">
        <v>475</v>
      </c>
      <c r="E35" t="s">
        <v>485</v>
      </c>
      <c r="F35" t="s">
        <v>380</v>
      </c>
      <c r="G35" t="s">
        <v>382</v>
      </c>
      <c r="H35" t="s">
        <v>479</v>
      </c>
      <c r="M35" s="14">
        <f ca="1">IF(ISBLANK(D35),"",MATCH($A35,OFFSET(SpellProperties!$AI$1:$AN$1,MATCH(D35,SpellProperties!$A$2:$A$165,0),0),0))</f>
        <v>1</v>
      </c>
      <c r="N35" s="14">
        <f ca="1">IF(ISBLANK(E35),"",MATCH($A35,OFFSET(SpellProperties!$AI$1:$AN$1,MATCH(E35,SpellProperties!$A$2:$A$165,0),0),0))</f>
        <v>2</v>
      </c>
      <c r="O35" s="14">
        <f ca="1">IF(ISBLANK(F35),"",MATCH($A35,OFFSET(SpellProperties!$AI$1:$AN$1,MATCH(F35,SpellProperties!$A$2:$A$165,0),0),0))</f>
        <v>1</v>
      </c>
      <c r="P35" s="14">
        <f ca="1">IF(ISBLANK(G35),"",MATCH($A35,OFFSET(SpellProperties!$AI$1:$AN$1,MATCH(G35,SpellProperties!$A$2:$A$165,0),0),0))</f>
        <v>2</v>
      </c>
      <c r="Q35" s="14">
        <f ca="1">IF(ISBLANK(H35),"",MATCH($A35,OFFSET(SpellProperties!$AI$1:$AN$1,MATCH(H35,SpellProperties!$A$2:$A$165,0),0),0))</f>
        <v>2</v>
      </c>
      <c r="R35" s="14">
        <f ca="1">IF(ISBLANK(I35),"",MATCH($A35,OFFSET(SpellProperties!$AI$1:$AN$1,MATCH(I35,SpellProperties!$A$2:$A$165,0),0),0))</f>
      </c>
      <c r="S35" s="14">
        <f ca="1">IF(ISBLANK(J35),"",MATCH($A35,OFFSET(SpellProperties!$AI$1:$AN$1,MATCH(J35,SpellProperties!$A$2:$A$165,0),0),0))</f>
      </c>
      <c r="T35" s="14">
        <f ca="1">IF(ISBLANK(K35),"",MATCH($A35,OFFSET(SpellProperties!$AI$1:$AN$1,MATCH(K35,SpellProperties!$A$2:$A$165,0),0),0))</f>
      </c>
      <c r="V35" s="14">
        <f>COUNTIF(SpellProperties!$AI$2:$AN$165,$A35)</f>
        <v>5</v>
      </c>
      <c r="W35" s="14">
        <f t="shared" si="0"/>
        <v>5</v>
      </c>
      <c r="X35" s="14" t="b">
        <f t="shared" si="1"/>
        <v>1</v>
      </c>
      <c r="AN35" s="1"/>
      <c r="AO35" s="1">
        <f t="shared" si="2"/>
        <v>33.6</v>
      </c>
    </row>
    <row r="36" spans="1:41" ht="12.75">
      <c r="A36" t="s">
        <v>25</v>
      </c>
      <c r="B36" s="22"/>
      <c r="C36">
        <v>10</v>
      </c>
      <c r="D36" t="s">
        <v>424</v>
      </c>
      <c r="E36" t="s">
        <v>425</v>
      </c>
      <c r="F36" t="s">
        <v>476</v>
      </c>
      <c r="G36" t="s">
        <v>570</v>
      </c>
      <c r="H36" t="s">
        <v>571</v>
      </c>
      <c r="I36" t="s">
        <v>390</v>
      </c>
      <c r="M36" s="14">
        <f ca="1">IF(ISBLANK(D36),"",MATCH($A36,OFFSET(SpellProperties!$AI$1:$AN$1,MATCH(D36,SpellProperties!$A$2:$A$165,0),0),0))</f>
        <v>1</v>
      </c>
      <c r="N36" s="14">
        <f ca="1">IF(ISBLANK(E36),"",MATCH($A36,OFFSET(SpellProperties!$AI$1:$AN$1,MATCH(E36,SpellProperties!$A$2:$A$165,0),0),0))</f>
        <v>2</v>
      </c>
      <c r="O36" s="14">
        <f ca="1">IF(ISBLANK(F36),"",MATCH($A36,OFFSET(SpellProperties!$AI$1:$AN$1,MATCH(F36,SpellProperties!$A$2:$A$165,0),0),0))</f>
        <v>3</v>
      </c>
      <c r="P36" s="14">
        <f ca="1">IF(ISBLANK(G36),"",MATCH($A36,OFFSET(SpellProperties!$AI$1:$AN$1,MATCH(G36,SpellProperties!$A$2:$A$165,0),0),0))</f>
        <v>2</v>
      </c>
      <c r="Q36" s="14">
        <f ca="1">IF(ISBLANK(H36),"",MATCH($A36,OFFSET(SpellProperties!$AI$1:$AN$1,MATCH(H36,SpellProperties!$A$2:$A$165,0),0),0))</f>
        <v>1</v>
      </c>
      <c r="R36" s="14">
        <f ca="1">IF(ISBLANK(I36),"",MATCH($A36,OFFSET(SpellProperties!$AI$1:$AN$1,MATCH(I36,SpellProperties!$A$2:$A$165,0),0),0))</f>
        <v>1</v>
      </c>
      <c r="S36" s="14">
        <f ca="1">IF(ISBLANK(J36),"",MATCH($A36,OFFSET(SpellProperties!$AI$1:$AN$1,MATCH(J36,SpellProperties!$A$2:$A$165,0),0),0))</f>
      </c>
      <c r="T36" s="14">
        <f ca="1">IF(ISBLANK(K36),"",MATCH($A36,OFFSET(SpellProperties!$AI$1:$AN$1,MATCH(K36,SpellProperties!$A$2:$A$165,0),0),0))</f>
      </c>
      <c r="V36" s="14">
        <f>COUNTIF(SpellProperties!$AI$2:$AN$165,$A36)</f>
        <v>6</v>
      </c>
      <c r="W36" s="14">
        <f t="shared" si="0"/>
        <v>6</v>
      </c>
      <c r="X36" s="14" t="b">
        <f t="shared" si="1"/>
        <v>1</v>
      </c>
      <c r="AN36" s="1"/>
      <c r="AO36" s="1">
        <f t="shared" si="2"/>
        <v>33.6</v>
      </c>
    </row>
    <row r="37" spans="1:41" ht="12.75">
      <c r="A37" t="s">
        <v>1102</v>
      </c>
      <c r="B37" s="22">
        <v>1</v>
      </c>
      <c r="C37">
        <v>5</v>
      </c>
      <c r="D37" t="s">
        <v>553</v>
      </c>
      <c r="E37" t="s">
        <v>566</v>
      </c>
      <c r="F37" t="s">
        <v>475</v>
      </c>
      <c r="G37" t="s">
        <v>461</v>
      </c>
      <c r="H37" t="s">
        <v>471</v>
      </c>
      <c r="I37" t="s">
        <v>468</v>
      </c>
      <c r="J37" t="s">
        <v>449</v>
      </c>
      <c r="M37" s="14">
        <f ca="1">IF(ISBLANK(D37),"",MATCH($A37,OFFSET(SpellProperties!$AI$1:$AN$1,MATCH(D37,SpellProperties!$A$2:$A$165,0),0),0))</f>
        <v>2</v>
      </c>
      <c r="N37" s="14">
        <f ca="1">IF(ISBLANK(E37),"",MATCH($A37,OFFSET(SpellProperties!$AI$1:$AN$1,MATCH(E37,SpellProperties!$A$2:$A$165,0),0),0))</f>
        <v>2</v>
      </c>
      <c r="O37" s="14">
        <f ca="1">IF(ISBLANK(F37),"",MATCH($A37,OFFSET(SpellProperties!$AI$1:$AN$1,MATCH(F37,SpellProperties!$A$2:$A$165,0),0),0))</f>
        <v>3</v>
      </c>
      <c r="P37" s="14">
        <f ca="1">IF(ISBLANK(G37),"",MATCH($A37,OFFSET(SpellProperties!$AI$1:$AN$1,MATCH(G37,SpellProperties!$A$2:$A$165,0),0),0))</f>
        <v>6</v>
      </c>
      <c r="Q37" s="14">
        <f ca="1">IF(ISBLANK(H37),"",MATCH($A37,OFFSET(SpellProperties!$AI$1:$AN$1,MATCH(H37,SpellProperties!$A$2:$A$165,0),0),0))</f>
        <v>2</v>
      </c>
      <c r="R37" s="14">
        <f ca="1">IF(ISBLANK(I37),"",MATCH($A37,OFFSET(SpellProperties!$AI$1:$AN$1,MATCH(I37,SpellProperties!$A$2:$A$165,0),0),0))</f>
        <v>2</v>
      </c>
      <c r="S37" s="14">
        <f ca="1">IF(ISBLANK(J37),"",MATCH($A37,OFFSET(SpellProperties!$AI$1:$AN$1,MATCH(J37,SpellProperties!$A$2:$A$165,0),0),0))</f>
        <v>3</v>
      </c>
      <c r="T37" s="14">
        <f ca="1">IF(ISBLANK(K37),"",MATCH($A37,OFFSET(SpellProperties!$AI$1:$AN$1,MATCH(K37,SpellProperties!$A$2:$A$165,0),0),0))</f>
      </c>
      <c r="V37" s="14">
        <f>COUNTIF(SpellProperties!$AI$2:$AN$165,$A37)</f>
        <v>7</v>
      </c>
      <c r="W37" s="14">
        <f t="shared" si="0"/>
        <v>7</v>
      </c>
      <c r="X37" s="14" t="b">
        <f t="shared" si="1"/>
        <v>1</v>
      </c>
      <c r="AN37" s="1"/>
      <c r="AO37" s="1">
        <f t="shared" si="2"/>
        <v>33.6</v>
      </c>
    </row>
    <row r="38" spans="1:41" ht="12.75">
      <c r="A38" t="s">
        <v>38</v>
      </c>
      <c r="B38" s="22"/>
      <c r="C38">
        <v>18</v>
      </c>
      <c r="D38" t="s">
        <v>48</v>
      </c>
      <c r="E38" t="s">
        <v>476</v>
      </c>
      <c r="F38" t="s">
        <v>415</v>
      </c>
      <c r="G38" s="4" t="s">
        <v>486</v>
      </c>
      <c r="H38" t="s">
        <v>565</v>
      </c>
      <c r="I38" t="s">
        <v>561</v>
      </c>
      <c r="M38" s="14">
        <f ca="1">IF(ISBLANK(D38),"",MATCH($A38,OFFSET(SpellProperties!$AI$1:$AN$1,MATCH(D38,SpellProperties!$A$2:$A$165,0),0),0))</f>
        <v>1</v>
      </c>
      <c r="N38" s="14">
        <f ca="1">IF(ISBLANK(E38),"",MATCH($A38,OFFSET(SpellProperties!$AI$1:$AN$1,MATCH(E38,SpellProperties!$A$2:$A$165,0),0),0))</f>
        <v>2</v>
      </c>
      <c r="O38" s="14">
        <f ca="1">IF(ISBLANK(F38),"",MATCH($A38,OFFSET(SpellProperties!$AI$1:$AN$1,MATCH(F38,SpellProperties!$A$2:$A$165,0),0),0))</f>
        <v>2</v>
      </c>
      <c r="P38" s="14">
        <f ca="1">IF(ISBLANK(G38),"",MATCH($A38,OFFSET(SpellProperties!$AI$1:$AN$1,MATCH(G38,SpellProperties!$A$2:$A$165,0),0),0))</f>
        <v>1</v>
      </c>
      <c r="Q38" s="14">
        <f ca="1">IF(ISBLANK(H38),"",MATCH($A38,OFFSET(SpellProperties!$AI$1:$AN$1,MATCH(H38,SpellProperties!$A$2:$A$165,0),0),0))</f>
        <v>1</v>
      </c>
      <c r="R38" s="14">
        <f ca="1">IF(ISBLANK(I38),"",MATCH($A38,OFFSET(SpellProperties!$AI$1:$AN$1,MATCH(I38,SpellProperties!$A$2:$A$165,0),0),0))</f>
        <v>1</v>
      </c>
      <c r="S38" s="14">
        <f ca="1">IF(ISBLANK(J38),"",MATCH($A38,OFFSET(SpellProperties!$AI$1:$AN$1,MATCH(J38,SpellProperties!$A$2:$A$165,0),0),0))</f>
      </c>
      <c r="T38" s="14">
        <f ca="1">IF(ISBLANK(K38),"",MATCH($A38,OFFSET(SpellProperties!$AI$1:$AN$1,MATCH(K38,SpellProperties!$A$2:$A$165,0),0),0))</f>
      </c>
      <c r="V38" s="14">
        <f>COUNTIF(SpellProperties!$AI$2:$AN$165,$A38)</f>
        <v>6</v>
      </c>
      <c r="W38" s="14">
        <f t="shared" si="0"/>
        <v>6</v>
      </c>
      <c r="X38" s="14" t="b">
        <f t="shared" si="1"/>
        <v>1</v>
      </c>
      <c r="AN38" s="1"/>
      <c r="AO38" s="1">
        <f t="shared" si="2"/>
        <v>33.6</v>
      </c>
    </row>
    <row r="39" spans="1:41" ht="12.75">
      <c r="A39" t="s">
        <v>591</v>
      </c>
      <c r="B39" s="22">
        <v>1</v>
      </c>
      <c r="C39">
        <v>1</v>
      </c>
      <c r="D39" s="4" t="s">
        <v>376</v>
      </c>
      <c r="E39" s="4" t="s">
        <v>379</v>
      </c>
      <c r="F39" s="4" t="s">
        <v>378</v>
      </c>
      <c r="G39" s="28" t="s">
        <v>457</v>
      </c>
      <c r="M39" s="14">
        <f ca="1">IF(ISBLANK(D39),"",MATCH($A39,OFFSET(SpellProperties!$AI$1:$AN$1,MATCH(D39,SpellProperties!$A$2:$A$165,0),0),0))</f>
        <v>1</v>
      </c>
      <c r="N39" s="14">
        <f ca="1">IF(ISBLANK(E39),"",MATCH($A39,OFFSET(SpellProperties!$AI$1:$AN$1,MATCH(E39,SpellProperties!$A$2:$A$165,0),0),0))</f>
        <v>1</v>
      </c>
      <c r="O39" s="14">
        <f ca="1">IF(ISBLANK(F39),"",MATCH($A39,OFFSET(SpellProperties!$AI$1:$AN$1,MATCH(F39,SpellProperties!$A$2:$A$165,0),0),0))</f>
        <v>1</v>
      </c>
      <c r="P39" s="14">
        <f ca="1">IF(ISBLANK(G39),"",MATCH($A39,OFFSET(SpellProperties!$AI$1:$AN$1,MATCH(G39,SpellProperties!$A$2:$A$165,0),0),0))</f>
        <v>1</v>
      </c>
      <c r="Q39" s="14">
        <f ca="1">IF(ISBLANK(H39),"",MATCH($A39,OFFSET(SpellProperties!$AI$1:$AN$1,MATCH(H39,SpellProperties!$A$2:$A$165,0),0),0))</f>
      </c>
      <c r="R39" s="14">
        <f ca="1">IF(ISBLANK(I39),"",MATCH($A39,OFFSET(SpellProperties!$AI$1:$AN$1,MATCH(I39,SpellProperties!$A$2:$A$165,0),0),0))</f>
      </c>
      <c r="S39" s="14">
        <f ca="1">IF(ISBLANK(J39),"",MATCH($A39,OFFSET(SpellProperties!$AI$1:$AN$1,MATCH(J39,SpellProperties!$A$2:$A$165,0),0),0))</f>
      </c>
      <c r="T39" s="14">
        <f ca="1">IF(ISBLANK(K39),"",MATCH($A39,OFFSET(SpellProperties!$AI$1:$AN$1,MATCH(K39,SpellProperties!$A$2:$A$165,0),0),0))</f>
      </c>
      <c r="V39" s="14">
        <f>COUNTIF(SpellProperties!$AI$2:$AN$165,$A39)</f>
        <v>4</v>
      </c>
      <c r="W39" s="14">
        <f t="shared" si="0"/>
        <v>4</v>
      </c>
      <c r="X39" s="14" t="b">
        <f t="shared" si="1"/>
        <v>1</v>
      </c>
      <c r="AN39" s="1"/>
      <c r="AO39" s="1">
        <f t="shared" si="2"/>
        <v>33.6</v>
      </c>
    </row>
    <row r="40" spans="1:41" ht="12.75">
      <c r="A40" t="s">
        <v>1014</v>
      </c>
      <c r="B40" s="22">
        <v>1</v>
      </c>
      <c r="C40">
        <v>11</v>
      </c>
      <c r="D40" t="s">
        <v>493</v>
      </c>
      <c r="E40" t="s">
        <v>455</v>
      </c>
      <c r="F40" t="s">
        <v>436</v>
      </c>
      <c r="G40" t="s">
        <v>487</v>
      </c>
      <c r="M40" s="14">
        <f ca="1">IF(ISBLANK(D40),"",MATCH($A40,OFFSET(SpellProperties!$AI$1:$AN$1,MATCH(D40,SpellProperties!$A$2:$A$165,0),0),0))</f>
        <v>2</v>
      </c>
      <c r="N40" s="14">
        <f ca="1">IF(ISBLANK(E40),"",MATCH($A40,OFFSET(SpellProperties!$AI$1:$AN$1,MATCH(E40,SpellProperties!$A$2:$A$165,0),0),0))</f>
        <v>1</v>
      </c>
      <c r="O40" s="14">
        <f ca="1">IF(ISBLANK(F40),"",MATCH($A40,OFFSET(SpellProperties!$AI$1:$AN$1,MATCH(F40,SpellProperties!$A$2:$A$165,0),0),0))</f>
        <v>3</v>
      </c>
      <c r="P40" s="14">
        <f ca="1">IF(ISBLANK(G40),"",MATCH($A40,OFFSET(SpellProperties!$AI$1:$AN$1,MATCH(G40,SpellProperties!$A$2:$A$165,0),0),0))</f>
        <v>1</v>
      </c>
      <c r="Q40" s="14">
        <f ca="1">IF(ISBLANK(H40),"",MATCH($A40,OFFSET(SpellProperties!$AI$1:$AN$1,MATCH(H40,SpellProperties!$A$2:$A$165,0),0),0))</f>
      </c>
      <c r="R40" s="14">
        <f ca="1">IF(ISBLANK(I40),"",MATCH($A40,OFFSET(SpellProperties!$AI$1:$AN$1,MATCH(I40,SpellProperties!$A$2:$A$165,0),0),0))</f>
      </c>
      <c r="S40" s="14">
        <f ca="1">IF(ISBLANK(J40),"",MATCH($A40,OFFSET(SpellProperties!$AI$1:$AN$1,MATCH(J40,SpellProperties!$A$2:$A$165,0),0),0))</f>
      </c>
      <c r="T40" s="14">
        <f ca="1">IF(ISBLANK(K40),"",MATCH($A40,OFFSET(SpellProperties!$AI$1:$AN$1,MATCH(K40,SpellProperties!$A$2:$A$165,0),0),0))</f>
      </c>
      <c r="V40" s="14">
        <f>COUNTIF(SpellProperties!$AI$2:$AN$165,$A40)</f>
        <v>4</v>
      </c>
      <c r="W40" s="14">
        <f t="shared" si="0"/>
        <v>4</v>
      </c>
      <c r="X40" s="14" t="b">
        <f t="shared" si="1"/>
        <v>1</v>
      </c>
      <c r="AN40" s="1"/>
      <c r="AO40" s="1">
        <f t="shared" si="2"/>
        <v>33.6</v>
      </c>
    </row>
    <row r="41" spans="1:41" ht="12.75">
      <c r="A41" t="s">
        <v>37</v>
      </c>
      <c r="B41" s="22">
        <v>1</v>
      </c>
      <c r="C41">
        <v>10</v>
      </c>
      <c r="D41" t="s">
        <v>460</v>
      </c>
      <c r="E41" t="s">
        <v>457</v>
      </c>
      <c r="F41" t="s">
        <v>382</v>
      </c>
      <c r="G41" t="s">
        <v>550</v>
      </c>
      <c r="H41" t="s">
        <v>372</v>
      </c>
      <c r="I41" t="s">
        <v>574</v>
      </c>
      <c r="J41" t="s">
        <v>487</v>
      </c>
      <c r="M41" s="14">
        <f ca="1">IF(ISBLANK(D41),"",MATCH($A41,OFFSET(SpellProperties!$AI$1:$AN$1,MATCH(D41,SpellProperties!$A$2:$A$165,0),0),0))</f>
        <v>1</v>
      </c>
      <c r="N41" s="14">
        <f ca="1">IF(ISBLANK(E41),"",MATCH($A41,OFFSET(SpellProperties!$AI$1:$AN$1,MATCH(E41,SpellProperties!$A$2:$A$165,0),0),0))</f>
        <v>2</v>
      </c>
      <c r="O41" s="14">
        <f ca="1">IF(ISBLANK(F41),"",MATCH($A41,OFFSET(SpellProperties!$AI$1:$AN$1,MATCH(F41,SpellProperties!$A$2:$A$165,0),0),0))</f>
        <v>3</v>
      </c>
      <c r="P41" s="14">
        <f ca="1">IF(ISBLANK(G41),"",MATCH($A41,OFFSET(SpellProperties!$AI$1:$AN$1,MATCH(G41,SpellProperties!$A$2:$A$165,0),0),0))</f>
        <v>2</v>
      </c>
      <c r="Q41" s="14">
        <f ca="1">IF(ISBLANK(H41),"",MATCH($A41,OFFSET(SpellProperties!$AI$1:$AN$1,MATCH(H41,SpellProperties!$A$2:$A$165,0),0),0))</f>
        <v>2</v>
      </c>
      <c r="R41" s="14">
        <f ca="1">IF(ISBLANK(I41),"",MATCH($A41,OFFSET(SpellProperties!$AI$1:$AN$1,MATCH(I41,SpellProperties!$A$2:$A$165,0),0),0))</f>
        <v>1</v>
      </c>
      <c r="S41" s="14">
        <f ca="1">IF(ISBLANK(J41),"",MATCH($A41,OFFSET(SpellProperties!$AI$1:$AN$1,MATCH(J41,SpellProperties!$A$2:$A$165,0),0),0))</f>
        <v>3</v>
      </c>
      <c r="T41" s="14">
        <f ca="1">IF(ISBLANK(K41),"",MATCH($A41,OFFSET(SpellProperties!$AI$1:$AN$1,MATCH(K41,SpellProperties!$A$2:$A$165,0),0),0))</f>
      </c>
      <c r="V41" s="14">
        <f>COUNTIF(SpellProperties!$AI$2:$AN$165,$A41)</f>
        <v>7</v>
      </c>
      <c r="W41" s="14">
        <f t="shared" si="0"/>
        <v>7</v>
      </c>
      <c r="X41" s="14" t="b">
        <f t="shared" si="1"/>
        <v>1</v>
      </c>
      <c r="AN41" s="1"/>
      <c r="AO41" s="1">
        <f t="shared" si="2"/>
        <v>33.6</v>
      </c>
    </row>
    <row r="42" spans="1:41" ht="12.75">
      <c r="A42" t="s">
        <v>27</v>
      </c>
      <c r="B42" s="22">
        <v>1</v>
      </c>
      <c r="C42">
        <v>10</v>
      </c>
      <c r="D42" t="s">
        <v>489</v>
      </c>
      <c r="E42" t="s">
        <v>559</v>
      </c>
      <c r="F42" t="s">
        <v>448</v>
      </c>
      <c r="G42" t="s">
        <v>356</v>
      </c>
      <c r="H42" t="s">
        <v>438</v>
      </c>
      <c r="I42" t="s">
        <v>358</v>
      </c>
      <c r="J42" t="s">
        <v>455</v>
      </c>
      <c r="K42" t="s">
        <v>360</v>
      </c>
      <c r="M42" s="14">
        <f ca="1">IF(ISBLANK(D42),"",MATCH($A42,OFFSET(SpellProperties!$AI$1:$AN$1,MATCH(D42,SpellProperties!$A$2:$A$165,0),0),0))</f>
        <v>2</v>
      </c>
      <c r="N42" s="14">
        <f ca="1">IF(ISBLANK(E42),"",MATCH($A42,OFFSET(SpellProperties!$AI$1:$AN$1,MATCH(E42,SpellProperties!$A$2:$A$165,0),0),0))</f>
        <v>5</v>
      </c>
      <c r="O42" s="14">
        <f ca="1">IF(ISBLANK(F42),"",MATCH($A42,OFFSET(SpellProperties!$AI$1:$AN$1,MATCH(F42,SpellProperties!$A$2:$A$165,0),0),0))</f>
        <v>1</v>
      </c>
      <c r="P42" s="14">
        <f ca="1">IF(ISBLANK(G42),"",MATCH($A42,OFFSET(SpellProperties!$AI$1:$AN$1,MATCH(G42,SpellProperties!$A$2:$A$165,0),0),0))</f>
        <v>1</v>
      </c>
      <c r="Q42" s="14">
        <f ca="1">IF(ISBLANK(H42),"",MATCH($A42,OFFSET(SpellProperties!$AI$1:$AN$1,MATCH(H42,SpellProperties!$A$2:$A$165,0),0),0))</f>
        <v>1</v>
      </c>
      <c r="R42" s="14">
        <f ca="1">IF(ISBLANK(I42),"",MATCH($A42,OFFSET(SpellProperties!$AI$1:$AN$1,MATCH(I42,SpellProperties!$A$2:$A$165,0),0),0))</f>
        <v>2</v>
      </c>
      <c r="S42" s="14">
        <f ca="1">IF(ISBLANK(J42),"",MATCH($A42,OFFSET(SpellProperties!$AI$1:$AN$1,MATCH(J42,SpellProperties!$A$2:$A$165,0),0),0))</f>
        <v>2</v>
      </c>
      <c r="T42" s="14">
        <f ca="1">IF(ISBLANK(K42),"",MATCH($A42,OFFSET(SpellProperties!$AI$1:$AN$1,MATCH(K42,SpellProperties!$A$2:$A$165,0),0),0))</f>
        <v>1</v>
      </c>
      <c r="V42" s="14">
        <f>COUNTIF(SpellProperties!$AI$2:$AN$165,$A42)</f>
        <v>8</v>
      </c>
      <c r="W42" s="14">
        <f t="shared" si="0"/>
        <v>8</v>
      </c>
      <c r="X42" s="14" t="b">
        <f t="shared" si="1"/>
        <v>1</v>
      </c>
      <c r="AN42" s="1"/>
      <c r="AO42" s="1">
        <f t="shared" si="2"/>
        <v>33.6</v>
      </c>
    </row>
    <row r="43" spans="1:41" ht="12.75">
      <c r="A43" t="s">
        <v>28</v>
      </c>
      <c r="B43" s="22"/>
      <c r="C43">
        <v>15</v>
      </c>
      <c r="D43" t="s">
        <v>426</v>
      </c>
      <c r="E43" t="s">
        <v>427</v>
      </c>
      <c r="F43" t="s">
        <v>428</v>
      </c>
      <c r="G43" t="s">
        <v>474</v>
      </c>
      <c r="M43" s="14">
        <f ca="1">IF(ISBLANK(D43),"",MATCH($A43,OFFSET(SpellProperties!$AI$1:$AN$1,MATCH(D43,SpellProperties!$A$2:$A$165,0),0),0))</f>
        <v>1</v>
      </c>
      <c r="N43" s="14">
        <f ca="1">IF(ISBLANK(E43),"",MATCH($A43,OFFSET(SpellProperties!$AI$1:$AN$1,MATCH(E43,SpellProperties!$A$2:$A$165,0),0),0))</f>
        <v>1</v>
      </c>
      <c r="O43" s="14">
        <f ca="1">IF(ISBLANK(F43),"",MATCH($A43,OFFSET(SpellProperties!$AI$1:$AN$1,MATCH(F43,SpellProperties!$A$2:$A$165,0),0),0))</f>
        <v>1</v>
      </c>
      <c r="P43" s="14">
        <f ca="1">IF(ISBLANK(G43),"",MATCH($A43,OFFSET(SpellProperties!$AI$1:$AN$1,MATCH(G43,SpellProperties!$A$2:$A$165,0),0),0))</f>
        <v>1</v>
      </c>
      <c r="Q43" s="14">
        <f ca="1">IF(ISBLANK(H43),"",MATCH($A43,OFFSET(SpellProperties!$AI$1:$AN$1,MATCH(H43,SpellProperties!$A$2:$A$165,0),0),0))</f>
      </c>
      <c r="R43" s="14">
        <f ca="1">IF(ISBLANK(I43),"",MATCH($A43,OFFSET(SpellProperties!$AI$1:$AN$1,MATCH(I43,SpellProperties!$A$2:$A$165,0),0),0))</f>
      </c>
      <c r="S43" s="14">
        <f ca="1">IF(ISBLANK(J43),"",MATCH($A43,OFFSET(SpellProperties!$AI$1:$AN$1,MATCH(J43,SpellProperties!$A$2:$A$165,0),0),0))</f>
      </c>
      <c r="T43" s="14">
        <f ca="1">IF(ISBLANK(K43),"",MATCH($A43,OFFSET(SpellProperties!$AI$1:$AN$1,MATCH(K43,SpellProperties!$A$2:$A$165,0),0),0))</f>
      </c>
      <c r="V43" s="14">
        <f>COUNTIF(SpellProperties!$AI$2:$AN$165,$A43)</f>
        <v>4</v>
      </c>
      <c r="W43" s="14">
        <f t="shared" si="0"/>
        <v>4</v>
      </c>
      <c r="X43" s="14" t="b">
        <f t="shared" si="1"/>
        <v>1</v>
      </c>
      <c r="AN43" s="1"/>
      <c r="AO43" s="1">
        <f t="shared" si="2"/>
        <v>33.6</v>
      </c>
    </row>
    <row r="44" spans="1:41" ht="12.75">
      <c r="A44" s="4" t="s">
        <v>1016</v>
      </c>
      <c r="B44" s="22">
        <v>1</v>
      </c>
      <c r="C44">
        <v>8</v>
      </c>
      <c r="D44" t="s">
        <v>483</v>
      </c>
      <c r="E44" t="s">
        <v>473</v>
      </c>
      <c r="F44" t="s">
        <v>550</v>
      </c>
      <c r="G44" t="s">
        <v>422</v>
      </c>
      <c r="H44" t="s">
        <v>397</v>
      </c>
      <c r="M44" s="14">
        <f ca="1">IF(ISBLANK(D44),"",MATCH($A44,OFFSET(SpellProperties!$AI$1:$AN$1,MATCH(D44,SpellProperties!$A$2:$A$165,0),0),0))</f>
        <v>1</v>
      </c>
      <c r="N44" s="14">
        <f ca="1">IF(ISBLANK(E44),"",MATCH($A44,OFFSET(SpellProperties!$AI$1:$AN$1,MATCH(E44,SpellProperties!$A$2:$A$165,0),0),0))</f>
        <v>1</v>
      </c>
      <c r="O44" s="14">
        <f ca="1">IF(ISBLANK(F44),"",MATCH($A44,OFFSET(SpellProperties!$AI$1:$AN$1,MATCH(F44,SpellProperties!$A$2:$A$165,0),0),0))</f>
        <v>1</v>
      </c>
      <c r="P44" s="14">
        <f ca="1">IF(ISBLANK(G44),"",MATCH($A44,OFFSET(SpellProperties!$AI$1:$AN$1,MATCH(G44,SpellProperties!$A$2:$A$165,0),0),0))</f>
        <v>1</v>
      </c>
      <c r="Q44" s="14">
        <f ca="1">IF(ISBLANK(H44),"",MATCH($A44,OFFSET(SpellProperties!$AI$1:$AN$1,MATCH(H44,SpellProperties!$A$2:$A$165,0),0),0))</f>
        <v>1</v>
      </c>
      <c r="R44" s="14">
        <f ca="1">IF(ISBLANK(I44),"",MATCH($A44,OFFSET(SpellProperties!$AI$1:$AN$1,MATCH(I44,SpellProperties!$A$2:$A$165,0),0),0))</f>
      </c>
      <c r="S44" s="14">
        <f ca="1">IF(ISBLANK(J44),"",MATCH($A44,OFFSET(SpellProperties!$AI$1:$AN$1,MATCH(J44,SpellProperties!$A$2:$A$165,0),0),0))</f>
      </c>
      <c r="T44" s="14">
        <f ca="1">IF(ISBLANK(K44),"",MATCH($A44,OFFSET(SpellProperties!$AI$1:$AN$1,MATCH(K44,SpellProperties!$A$2:$A$165,0),0),0))</f>
      </c>
      <c r="V44" s="14">
        <f>COUNTIF(SpellProperties!$AI$2:$AN$165,$A44)</f>
        <v>6</v>
      </c>
      <c r="W44" s="14">
        <f t="shared" si="0"/>
        <v>5</v>
      </c>
      <c r="X44" s="14" t="b">
        <f t="shared" si="1"/>
        <v>0</v>
      </c>
      <c r="AN44" s="1"/>
      <c r="AO44" s="1">
        <f t="shared" si="2"/>
        <v>33.6</v>
      </c>
    </row>
    <row r="45" spans="1:41" ht="12.75">
      <c r="A45" t="s">
        <v>658</v>
      </c>
      <c r="B45" s="22"/>
      <c r="C45">
        <v>16</v>
      </c>
      <c r="D45" t="s">
        <v>566</v>
      </c>
      <c r="E45" s="4" t="s">
        <v>576</v>
      </c>
      <c r="F45" s="4" t="s">
        <v>575</v>
      </c>
      <c r="M45" s="14">
        <f ca="1">IF(ISBLANK(D45),"",MATCH($A45,OFFSET(SpellProperties!$AI$1:$AN$1,MATCH(D45,SpellProperties!$A$2:$A$165,0),0),0))</f>
        <v>1</v>
      </c>
      <c r="N45" s="14">
        <f ca="1">IF(ISBLANK(E45),"",MATCH($A45,OFFSET(SpellProperties!$AI$1:$AN$1,MATCH(E45,SpellProperties!$A$2:$A$165,0),0),0))</f>
        <v>1</v>
      </c>
      <c r="O45" s="14">
        <f ca="1">IF(ISBLANK(F45),"",MATCH($A45,OFFSET(SpellProperties!$AI$1:$AN$1,MATCH(F45,SpellProperties!$A$2:$A$165,0),0),0))</f>
        <v>1</v>
      </c>
      <c r="P45" s="14">
        <f ca="1">IF(ISBLANK(G45),"",MATCH($A45,OFFSET(SpellProperties!$AI$1:$AN$1,MATCH(G45,SpellProperties!$A$2:$A$165,0),0),0))</f>
      </c>
      <c r="Q45" s="14">
        <f ca="1">IF(ISBLANK(H45),"",MATCH($A45,OFFSET(SpellProperties!$AI$1:$AN$1,MATCH(H45,SpellProperties!$A$2:$A$165,0),0),0))</f>
      </c>
      <c r="R45" s="14">
        <f ca="1">IF(ISBLANK(I45),"",MATCH($A45,OFFSET(SpellProperties!$AI$1:$AN$1,MATCH(I45,SpellProperties!$A$2:$A$165,0),0),0))</f>
      </c>
      <c r="S45" s="14">
        <f ca="1">IF(ISBLANK(J45),"",MATCH($A45,OFFSET(SpellProperties!$AI$1:$AN$1,MATCH(J45,SpellProperties!$A$2:$A$165,0),0),0))</f>
      </c>
      <c r="T45" s="14">
        <f ca="1">IF(ISBLANK(K45),"",MATCH($A45,OFFSET(SpellProperties!$AI$1:$AN$1,MATCH(K45,SpellProperties!$A$2:$A$165,0),0),0))</f>
      </c>
      <c r="V45" s="14">
        <f>COUNTIF(SpellProperties!$AI$2:$AN$165,$A45)</f>
        <v>3</v>
      </c>
      <c r="W45" s="14">
        <f t="shared" si="0"/>
        <v>3</v>
      </c>
      <c r="X45" s="14" t="b">
        <f t="shared" si="1"/>
        <v>1</v>
      </c>
      <c r="AN45" s="1"/>
      <c r="AO45" s="1">
        <f t="shared" si="2"/>
        <v>33.6</v>
      </c>
    </row>
    <row r="46" spans="1:41" ht="12.75">
      <c r="A46" t="s">
        <v>650</v>
      </c>
      <c r="B46" s="22">
        <v>1</v>
      </c>
      <c r="C46">
        <v>10</v>
      </c>
      <c r="D46" t="s">
        <v>556</v>
      </c>
      <c r="E46" t="s">
        <v>404</v>
      </c>
      <c r="F46" t="s">
        <v>578</v>
      </c>
      <c r="G46" t="s">
        <v>408</v>
      </c>
      <c r="H46" t="s">
        <v>490</v>
      </c>
      <c r="M46" s="14">
        <f ca="1">IF(ISBLANK(D46),"",MATCH($A46,OFFSET(SpellProperties!$AI$1:$AN$1,MATCH(D46,SpellProperties!$A$2:$A$165,0),0),0))</f>
        <v>1</v>
      </c>
      <c r="N46" s="14">
        <f ca="1">IF(ISBLANK(E46),"",MATCH($A46,OFFSET(SpellProperties!$AI$1:$AN$1,MATCH(E46,SpellProperties!$A$2:$A$165,0),0),0))</f>
        <v>2</v>
      </c>
      <c r="O46" s="14">
        <f ca="1">IF(ISBLANK(F46),"",MATCH($A46,OFFSET(SpellProperties!$AI$1:$AN$1,MATCH(F46,SpellProperties!$A$2:$A$165,0),0),0))</f>
        <v>1</v>
      </c>
      <c r="P46" s="14">
        <f ca="1">IF(ISBLANK(G46),"",MATCH($A46,OFFSET(SpellProperties!$AI$1:$AN$1,MATCH(G46,SpellProperties!$A$2:$A$165,0),0),0))</f>
        <v>1</v>
      </c>
      <c r="Q46" s="14">
        <f ca="1">IF(ISBLANK(H46),"",MATCH($A46,OFFSET(SpellProperties!$AI$1:$AN$1,MATCH(H46,SpellProperties!$A$2:$A$165,0),0),0))</f>
        <v>2</v>
      </c>
      <c r="R46" s="14">
        <f ca="1">IF(ISBLANK(I46),"",MATCH($A46,OFFSET(SpellProperties!$AI$1:$AN$1,MATCH(I46,SpellProperties!$A$2:$A$165,0),0),0))</f>
      </c>
      <c r="S46" s="14">
        <f ca="1">IF(ISBLANK(J46),"",MATCH($A46,OFFSET(SpellProperties!$AI$1:$AN$1,MATCH(J46,SpellProperties!$A$2:$A$165,0),0),0))</f>
      </c>
      <c r="T46" s="14">
        <f ca="1">IF(ISBLANK(K46),"",MATCH($A46,OFFSET(SpellProperties!$AI$1:$AN$1,MATCH(K46,SpellProperties!$A$2:$A$165,0),0),0))</f>
      </c>
      <c r="V46" s="14">
        <f>COUNTIF(SpellProperties!$AI$2:$AN$165,$A46)</f>
        <v>5</v>
      </c>
      <c r="W46" s="14">
        <f t="shared" si="0"/>
        <v>5</v>
      </c>
      <c r="X46" s="14" t="b">
        <f t="shared" si="1"/>
        <v>1</v>
      </c>
      <c r="AN46" s="1"/>
      <c r="AO46" s="1">
        <f t="shared" si="2"/>
        <v>33.6</v>
      </c>
    </row>
    <row r="47" spans="1:41" ht="12.75">
      <c r="A47" t="s">
        <v>616</v>
      </c>
      <c r="B47" s="22"/>
      <c r="C47">
        <v>5</v>
      </c>
      <c r="D47" t="s">
        <v>434</v>
      </c>
      <c r="E47" t="s">
        <v>441</v>
      </c>
      <c r="F47" t="s">
        <v>480</v>
      </c>
      <c r="G47" s="4" t="s">
        <v>388</v>
      </c>
      <c r="H47" t="s">
        <v>478</v>
      </c>
      <c r="I47" t="s">
        <v>443</v>
      </c>
      <c r="M47" s="14">
        <f ca="1">IF(ISBLANK(D47),"",MATCH($A47,OFFSET(SpellProperties!$AI$1:$AN$1,MATCH(D47,SpellProperties!$A$2:$A$165,0),0),0))</f>
        <v>2</v>
      </c>
      <c r="N47" s="14">
        <f ca="1">IF(ISBLANK(E47),"",MATCH($A47,OFFSET(SpellProperties!$AI$1:$AN$1,MATCH(E47,SpellProperties!$A$2:$A$165,0),0),0))</f>
        <v>2</v>
      </c>
      <c r="O47" s="14">
        <f ca="1">IF(ISBLANK(F47),"",MATCH($A47,OFFSET(SpellProperties!$AI$1:$AN$1,MATCH(F47,SpellProperties!$A$2:$A$165,0),0),0))</f>
        <v>1</v>
      </c>
      <c r="P47" s="14">
        <f ca="1">IF(ISBLANK(G47),"",MATCH($A47,OFFSET(SpellProperties!$AI$1:$AN$1,MATCH(G47,SpellProperties!$A$2:$A$165,0),0),0))</f>
        <v>1</v>
      </c>
      <c r="Q47" s="14">
        <f ca="1">IF(ISBLANK(H47),"",MATCH($A47,OFFSET(SpellProperties!$AI$1:$AN$1,MATCH(H47,SpellProperties!$A$2:$A$165,0),0),0))</f>
        <v>1</v>
      </c>
      <c r="R47" s="14">
        <f ca="1">IF(ISBLANK(I47),"",MATCH($A47,OFFSET(SpellProperties!$AI$1:$AN$1,MATCH(I47,SpellProperties!$A$2:$A$165,0),0),0))</f>
        <v>2</v>
      </c>
      <c r="S47" s="14">
        <f ca="1">IF(ISBLANK(J47),"",MATCH($A47,OFFSET(SpellProperties!$AI$1:$AN$1,MATCH(J47,SpellProperties!$A$2:$A$165,0),0),0))</f>
      </c>
      <c r="T47" s="14">
        <f ca="1">IF(ISBLANK(K47),"",MATCH($A47,OFFSET(SpellProperties!$AI$1:$AN$1,MATCH(K47,SpellProperties!$A$2:$A$165,0),0),0))</f>
      </c>
      <c r="V47" s="14">
        <f>COUNTIF(SpellProperties!$AI$2:$AN$165,$A47)</f>
        <v>6</v>
      </c>
      <c r="W47" s="14">
        <f t="shared" si="0"/>
        <v>6</v>
      </c>
      <c r="X47" s="14" t="b">
        <f t="shared" si="1"/>
        <v>1</v>
      </c>
      <c r="AN47" s="1"/>
      <c r="AO47" s="1">
        <f t="shared" si="2"/>
        <v>33.6</v>
      </c>
    </row>
    <row r="48" spans="1:41" ht="12.75">
      <c r="A48" t="s">
        <v>1021</v>
      </c>
      <c r="B48" s="22">
        <v>1</v>
      </c>
      <c r="C48">
        <v>3</v>
      </c>
      <c r="D48" t="s">
        <v>377</v>
      </c>
      <c r="E48" t="s">
        <v>559</v>
      </c>
      <c r="F48" t="s">
        <v>457</v>
      </c>
      <c r="G48" t="s">
        <v>571</v>
      </c>
      <c r="H48" t="s">
        <v>436</v>
      </c>
      <c r="I48" t="s">
        <v>446</v>
      </c>
      <c r="J48" t="s">
        <v>443</v>
      </c>
      <c r="M48" s="14">
        <f ca="1">IF(ISBLANK(D48),"",MATCH($A48,OFFSET(SpellProperties!$AI$1:$AN$1,MATCH(D48,SpellProperties!$A$2:$A$165,0),0),0))</f>
        <v>2</v>
      </c>
      <c r="N48" s="14">
        <f ca="1">IF(ISBLANK(E48),"",MATCH($A48,OFFSET(SpellProperties!$AI$1:$AN$1,MATCH(E48,SpellProperties!$A$2:$A$165,0),0),0))</f>
        <v>4</v>
      </c>
      <c r="O48" s="14">
        <f ca="1">IF(ISBLANK(F48),"",MATCH($A48,OFFSET(SpellProperties!$AI$1:$AN$1,MATCH(F48,SpellProperties!$A$2:$A$165,0),0),0))</f>
        <v>3</v>
      </c>
      <c r="P48" s="14">
        <f ca="1">IF(ISBLANK(G48),"",MATCH($A48,OFFSET(SpellProperties!$AI$1:$AN$1,MATCH(G48,SpellProperties!$A$2:$A$165,0),0),0))</f>
        <v>2</v>
      </c>
      <c r="Q48" s="14">
        <f ca="1">IF(ISBLANK(H48),"",MATCH($A48,OFFSET(SpellProperties!$AI$1:$AN$1,MATCH(H48,SpellProperties!$A$2:$A$165,0),0),0))</f>
        <v>4</v>
      </c>
      <c r="R48" s="14">
        <f ca="1">IF(ISBLANK(I48),"",MATCH($A48,OFFSET(SpellProperties!$AI$1:$AN$1,MATCH(I48,SpellProperties!$A$2:$A$165,0),0),0))</f>
        <v>2</v>
      </c>
      <c r="S48" s="14">
        <f ca="1">IF(ISBLANK(J48),"",MATCH($A48,OFFSET(SpellProperties!$AI$1:$AN$1,MATCH(J48,SpellProperties!$A$2:$A$165,0),0),0))</f>
        <v>3</v>
      </c>
      <c r="T48" s="14">
        <f ca="1">IF(ISBLANK(K48),"",MATCH($A48,OFFSET(SpellProperties!$AI$1:$AN$1,MATCH(K48,SpellProperties!$A$2:$A$165,0),0),0))</f>
      </c>
      <c r="V48" s="14">
        <f>COUNTIF(SpellProperties!$AI$2:$AN$165,$A48)</f>
        <v>7</v>
      </c>
      <c r="W48" s="14">
        <f t="shared" si="0"/>
        <v>7</v>
      </c>
      <c r="X48" s="14" t="b">
        <f t="shared" si="1"/>
        <v>1</v>
      </c>
      <c r="AN48" s="1"/>
      <c r="AO48" s="1">
        <f t="shared" si="2"/>
        <v>33.6</v>
      </c>
    </row>
    <row r="49" spans="1:41" ht="12.75">
      <c r="A49" t="s">
        <v>608</v>
      </c>
      <c r="B49" s="24">
        <v>1</v>
      </c>
      <c r="C49">
        <v>5</v>
      </c>
      <c r="D49" t="s">
        <v>553</v>
      </c>
      <c r="E49" t="s">
        <v>51</v>
      </c>
      <c r="F49" t="s">
        <v>461</v>
      </c>
      <c r="G49" t="s">
        <v>471</v>
      </c>
      <c r="H49" t="s">
        <v>580</v>
      </c>
      <c r="M49" s="14">
        <f ca="1">IF(ISBLANK(D49),"",MATCH($A49,OFFSET(SpellProperties!$AI$1:$AN$1,MATCH(D49,SpellProperties!$A$2:$A$165,0),0),0))</f>
        <v>1</v>
      </c>
      <c r="N49" s="14">
        <f ca="1">IF(ISBLANK(E49),"",MATCH($A49,OFFSET(SpellProperties!$AI$1:$AN$1,MATCH(E49,SpellProperties!$A$2:$A$165,0),0),0))</f>
        <v>1</v>
      </c>
      <c r="O49" s="14">
        <f ca="1">IF(ISBLANK(F49),"",MATCH($A49,OFFSET(SpellProperties!$AI$1:$AN$1,MATCH(F49,SpellProperties!$A$2:$A$165,0),0),0))</f>
        <v>3</v>
      </c>
      <c r="P49" s="14">
        <f ca="1">IF(ISBLANK(G49),"",MATCH($A49,OFFSET(SpellProperties!$AI$1:$AN$1,MATCH(G49,SpellProperties!$A$2:$A$165,0),0),0))</f>
        <v>1</v>
      </c>
      <c r="Q49" s="14">
        <f ca="1">IF(ISBLANK(H49),"",MATCH($A49,OFFSET(SpellProperties!$AI$1:$AN$1,MATCH(H49,SpellProperties!$A$2:$A$165,0),0),0))</f>
        <v>1</v>
      </c>
      <c r="R49" s="14">
        <f ca="1">IF(ISBLANK(I49),"",MATCH($A49,OFFSET(SpellProperties!$AI$1:$AN$1,MATCH(I49,SpellProperties!$A$2:$A$165,0),0),0))</f>
      </c>
      <c r="S49" s="14">
        <f ca="1">IF(ISBLANK(J49),"",MATCH($A49,OFFSET(SpellProperties!$AI$1:$AN$1,MATCH(J49,SpellProperties!$A$2:$A$165,0),0),0))</f>
      </c>
      <c r="T49" s="14">
        <f ca="1">IF(ISBLANK(K49),"",MATCH($A49,OFFSET(SpellProperties!$AI$1:$AN$1,MATCH(K49,SpellProperties!$A$2:$A$165,0),0),0))</f>
      </c>
      <c r="V49" s="14">
        <f>COUNTIF(SpellProperties!$AI$2:$AN$165,$A49)</f>
        <v>5</v>
      </c>
      <c r="W49" s="14">
        <f t="shared" si="0"/>
        <v>5</v>
      </c>
      <c r="X49" s="14" t="b">
        <f t="shared" si="1"/>
        <v>1</v>
      </c>
      <c r="AN49" s="1"/>
      <c r="AO49" s="1">
        <f t="shared" si="2"/>
        <v>33.6</v>
      </c>
    </row>
    <row r="50" spans="40:41" ht="12.75">
      <c r="AN50" s="1"/>
      <c r="AO50" s="1">
        <f t="shared" si="2"/>
        <v>33.6</v>
      </c>
    </row>
    <row r="51" spans="1:41" ht="12.75">
      <c r="A51" t="s">
        <v>58</v>
      </c>
      <c r="C51">
        <v>30</v>
      </c>
      <c r="AN51" s="1"/>
      <c r="AO51" s="1">
        <f t="shared" si="2"/>
        <v>33.6</v>
      </c>
    </row>
    <row r="52" spans="1:41" ht="12.75">
      <c r="A52" t="s">
        <v>270</v>
      </c>
      <c r="C52">
        <v>20</v>
      </c>
      <c r="AN52" s="1"/>
      <c r="AO52" s="1">
        <f t="shared" si="2"/>
        <v>33.6</v>
      </c>
    </row>
    <row r="53" spans="40:41" ht="12.75">
      <c r="AN53" s="1"/>
      <c r="AO53" s="1">
        <f t="shared" si="2"/>
        <v>33.6</v>
      </c>
    </row>
    <row r="54" spans="40:41" ht="12.75">
      <c r="AN54" s="1"/>
      <c r="AO54" s="1">
        <f t="shared" si="2"/>
        <v>33.6</v>
      </c>
    </row>
    <row r="55" spans="40:41" ht="12.75">
      <c r="AN55" s="1"/>
      <c r="AO55" s="1">
        <f t="shared" si="2"/>
        <v>33.6</v>
      </c>
    </row>
    <row r="56" spans="40:41" ht="12.75">
      <c r="AN56" s="1"/>
      <c r="AO56" s="1">
        <f t="shared" si="2"/>
        <v>33.6</v>
      </c>
    </row>
    <row r="57" spans="40:41" ht="12.75">
      <c r="AN57" s="1"/>
      <c r="AO57" s="1">
        <f t="shared" si="2"/>
        <v>33.6</v>
      </c>
    </row>
    <row r="58" spans="40:41" ht="12.75">
      <c r="AN58" s="1"/>
      <c r="AO58" s="1">
        <f t="shared" si="2"/>
        <v>33.6</v>
      </c>
    </row>
    <row r="59" spans="40:41" ht="12.75">
      <c r="AN59" s="1"/>
      <c r="AO59" s="1">
        <f t="shared" si="2"/>
        <v>33.6</v>
      </c>
    </row>
    <row r="60" spans="40:41" ht="12.75">
      <c r="AN60" s="1"/>
      <c r="AO60" s="1">
        <f t="shared" si="2"/>
        <v>33.6</v>
      </c>
    </row>
    <row r="61" spans="40:41" ht="12.75">
      <c r="AN61" s="1"/>
      <c r="AO61" s="1">
        <f t="shared" si="2"/>
        <v>33.6</v>
      </c>
    </row>
    <row r="62" spans="40:41" ht="12.75">
      <c r="AN62" s="1"/>
      <c r="AO62" s="1">
        <f t="shared" si="2"/>
        <v>33.6</v>
      </c>
    </row>
    <row r="63" spans="40:41" ht="12.75">
      <c r="AN63" s="1"/>
      <c r="AO63" s="1">
        <f t="shared" si="2"/>
        <v>33.6</v>
      </c>
    </row>
    <row r="64" spans="40:41" ht="12.75">
      <c r="AN64" s="1"/>
      <c r="AO64" s="1">
        <f t="shared" si="2"/>
        <v>33.6</v>
      </c>
    </row>
    <row r="65" spans="40:41" ht="12.75">
      <c r="AN65" s="1"/>
      <c r="AO65" s="1">
        <f t="shared" si="2"/>
        <v>33.6</v>
      </c>
    </row>
    <row r="66" spans="40:41" ht="12.75">
      <c r="AN66" s="1"/>
      <c r="AO66" s="1">
        <f t="shared" si="2"/>
        <v>33.6</v>
      </c>
    </row>
    <row r="67" spans="40:41" ht="12.75">
      <c r="AN67" s="1"/>
      <c r="AO67" s="1">
        <f aca="true" t="shared" si="3" ref="AO67:AO130">IF(AN67&lt;45,42*(AN67+180)/225,AN67)</f>
        <v>33.6</v>
      </c>
    </row>
    <row r="68" spans="40:41" ht="12.75">
      <c r="AN68" s="1"/>
      <c r="AO68" s="1">
        <f t="shared" si="3"/>
        <v>33.6</v>
      </c>
    </row>
    <row r="69" spans="40:41" ht="12.75">
      <c r="AN69" s="1"/>
      <c r="AO69" s="1">
        <f t="shared" si="3"/>
        <v>33.6</v>
      </c>
    </row>
    <row r="70" spans="40:41" ht="12.75">
      <c r="AN70" s="1"/>
      <c r="AO70" s="1">
        <f t="shared" si="3"/>
        <v>33.6</v>
      </c>
    </row>
    <row r="71" spans="40:41" ht="12.75">
      <c r="AN71" s="1"/>
      <c r="AO71" s="1">
        <f t="shared" si="3"/>
        <v>33.6</v>
      </c>
    </row>
    <row r="72" spans="40:41" ht="12.75">
      <c r="AN72" s="1"/>
      <c r="AO72" s="1">
        <f t="shared" si="3"/>
        <v>33.6</v>
      </c>
    </row>
    <row r="73" spans="40:41" ht="12.75">
      <c r="AN73" s="1"/>
      <c r="AO73" s="1">
        <f t="shared" si="3"/>
        <v>33.6</v>
      </c>
    </row>
    <row r="74" spans="40:41" ht="12.75">
      <c r="AN74" s="1"/>
      <c r="AO74" s="1">
        <f t="shared" si="3"/>
        <v>33.6</v>
      </c>
    </row>
    <row r="75" spans="40:41" ht="12.75">
      <c r="AN75" s="1"/>
      <c r="AO75" s="1">
        <f t="shared" si="3"/>
        <v>33.6</v>
      </c>
    </row>
    <row r="76" spans="40:41" ht="12.75">
      <c r="AN76" s="1"/>
      <c r="AO76" s="1">
        <f t="shared" si="3"/>
        <v>33.6</v>
      </c>
    </row>
    <row r="77" spans="40:41" ht="12.75">
      <c r="AN77" s="1"/>
      <c r="AO77" s="1">
        <f t="shared" si="3"/>
        <v>33.6</v>
      </c>
    </row>
    <row r="78" spans="40:41" ht="12.75">
      <c r="AN78" s="1"/>
      <c r="AO78" s="1">
        <f t="shared" si="3"/>
        <v>33.6</v>
      </c>
    </row>
    <row r="79" spans="40:41" ht="12.75">
      <c r="AN79" s="1"/>
      <c r="AO79" s="1">
        <f t="shared" si="3"/>
        <v>33.6</v>
      </c>
    </row>
    <row r="80" spans="40:41" ht="12.75">
      <c r="AN80" s="1"/>
      <c r="AO80" s="1">
        <f t="shared" si="3"/>
        <v>33.6</v>
      </c>
    </row>
    <row r="81" spans="40:41" ht="12.75">
      <c r="AN81" s="1"/>
      <c r="AO81" s="1">
        <f t="shared" si="3"/>
        <v>33.6</v>
      </c>
    </row>
    <row r="82" spans="40:41" ht="12.75">
      <c r="AN82" s="1"/>
      <c r="AO82" s="1">
        <f t="shared" si="3"/>
        <v>33.6</v>
      </c>
    </row>
    <row r="83" spans="40:41" ht="12.75">
      <c r="AN83" s="1"/>
      <c r="AO83" s="1">
        <f t="shared" si="3"/>
        <v>33.6</v>
      </c>
    </row>
    <row r="84" spans="40:41" ht="12.75">
      <c r="AN84" s="1"/>
      <c r="AO84" s="1">
        <f t="shared" si="3"/>
        <v>33.6</v>
      </c>
    </row>
    <row r="85" spans="40:41" ht="12.75">
      <c r="AN85" s="1"/>
      <c r="AO85" s="1">
        <f t="shared" si="3"/>
        <v>33.6</v>
      </c>
    </row>
    <row r="86" spans="40:41" ht="12.75">
      <c r="AN86" s="1"/>
      <c r="AO86" s="1">
        <f t="shared" si="3"/>
        <v>33.6</v>
      </c>
    </row>
    <row r="87" spans="40:41" ht="12.75">
      <c r="AN87" s="1"/>
      <c r="AO87" s="1">
        <f t="shared" si="3"/>
        <v>33.6</v>
      </c>
    </row>
    <row r="88" spans="40:41" ht="12.75">
      <c r="AN88" s="1"/>
      <c r="AO88" s="1">
        <f t="shared" si="3"/>
        <v>33.6</v>
      </c>
    </row>
    <row r="89" spans="40:41" ht="12.75">
      <c r="AN89" s="1"/>
      <c r="AO89" s="1">
        <f t="shared" si="3"/>
        <v>33.6</v>
      </c>
    </row>
    <row r="90" spans="40:41" ht="12.75">
      <c r="AN90" s="1"/>
      <c r="AO90" s="1">
        <f t="shared" si="3"/>
        <v>33.6</v>
      </c>
    </row>
    <row r="91" spans="40:41" ht="12.75">
      <c r="AN91" s="1"/>
      <c r="AO91" s="1">
        <f t="shared" si="3"/>
        <v>33.6</v>
      </c>
    </row>
    <row r="92" spans="40:41" ht="12.75">
      <c r="AN92" s="1"/>
      <c r="AO92" s="1">
        <f t="shared" si="3"/>
        <v>33.6</v>
      </c>
    </row>
    <row r="93" spans="40:41" ht="12.75">
      <c r="AN93" s="1"/>
      <c r="AO93" s="1">
        <f t="shared" si="3"/>
        <v>33.6</v>
      </c>
    </row>
    <row r="94" spans="40:41" ht="12.75">
      <c r="AN94" s="1"/>
      <c r="AO94" s="1">
        <f t="shared" si="3"/>
        <v>33.6</v>
      </c>
    </row>
    <row r="95" spans="40:41" ht="12.75">
      <c r="AN95" s="1"/>
      <c r="AO95" s="1">
        <f t="shared" si="3"/>
        <v>33.6</v>
      </c>
    </row>
    <row r="96" spans="40:41" ht="12.75">
      <c r="AN96" s="1"/>
      <c r="AO96" s="1">
        <f t="shared" si="3"/>
        <v>33.6</v>
      </c>
    </row>
    <row r="97" spans="40:41" ht="12.75">
      <c r="AN97" s="1"/>
      <c r="AO97" s="1">
        <f t="shared" si="3"/>
        <v>33.6</v>
      </c>
    </row>
    <row r="98" spans="40:41" ht="12.75">
      <c r="AN98" s="1"/>
      <c r="AO98" s="1">
        <f t="shared" si="3"/>
        <v>33.6</v>
      </c>
    </row>
    <row r="99" spans="40:41" ht="12.75">
      <c r="AN99" s="1"/>
      <c r="AO99" s="1">
        <f t="shared" si="3"/>
        <v>33.6</v>
      </c>
    </row>
    <row r="100" spans="40:41" ht="12.75">
      <c r="AN100" s="1"/>
      <c r="AO100" s="1">
        <f t="shared" si="3"/>
        <v>33.6</v>
      </c>
    </row>
    <row r="101" spans="40:41" ht="12.75">
      <c r="AN101" s="1"/>
      <c r="AO101" s="1">
        <f t="shared" si="3"/>
        <v>33.6</v>
      </c>
    </row>
    <row r="102" spans="40:41" ht="12.75">
      <c r="AN102" s="1"/>
      <c r="AO102" s="1">
        <f t="shared" si="3"/>
        <v>33.6</v>
      </c>
    </row>
    <row r="103" spans="40:41" ht="12.75">
      <c r="AN103" s="1"/>
      <c r="AO103" s="1">
        <f t="shared" si="3"/>
        <v>33.6</v>
      </c>
    </row>
    <row r="104" spans="40:41" ht="12.75">
      <c r="AN104" s="1"/>
      <c r="AO104" s="1">
        <f t="shared" si="3"/>
        <v>33.6</v>
      </c>
    </row>
    <row r="105" spans="40:41" ht="12.75">
      <c r="AN105" s="1"/>
      <c r="AO105" s="1">
        <f t="shared" si="3"/>
        <v>33.6</v>
      </c>
    </row>
    <row r="106" spans="40:41" ht="12.75">
      <c r="AN106" s="1"/>
      <c r="AO106" s="1">
        <f t="shared" si="3"/>
        <v>33.6</v>
      </c>
    </row>
    <row r="107" spans="40:41" ht="12.75">
      <c r="AN107" s="1"/>
      <c r="AO107" s="1">
        <f t="shared" si="3"/>
        <v>33.6</v>
      </c>
    </row>
    <row r="108" spans="40:41" ht="12.75">
      <c r="AN108" s="1"/>
      <c r="AO108" s="1">
        <f t="shared" si="3"/>
        <v>33.6</v>
      </c>
    </row>
    <row r="109" spans="40:41" ht="12.75">
      <c r="AN109" s="1"/>
      <c r="AO109" s="1">
        <f t="shared" si="3"/>
        <v>33.6</v>
      </c>
    </row>
    <row r="110" spans="40:41" ht="12.75">
      <c r="AN110" s="1"/>
      <c r="AO110" s="1">
        <f t="shared" si="3"/>
        <v>33.6</v>
      </c>
    </row>
    <row r="111" spans="40:41" ht="12.75">
      <c r="AN111" s="1"/>
      <c r="AO111" s="1">
        <f t="shared" si="3"/>
        <v>33.6</v>
      </c>
    </row>
    <row r="112" spans="40:41" ht="12.75">
      <c r="AN112" s="1"/>
      <c r="AO112" s="1">
        <f t="shared" si="3"/>
        <v>33.6</v>
      </c>
    </row>
    <row r="113" spans="40:41" ht="12.75">
      <c r="AN113" s="1"/>
      <c r="AO113" s="1">
        <f t="shared" si="3"/>
        <v>33.6</v>
      </c>
    </row>
    <row r="114" spans="40:41" ht="12.75">
      <c r="AN114" s="1"/>
      <c r="AO114" s="1">
        <f t="shared" si="3"/>
        <v>33.6</v>
      </c>
    </row>
    <row r="115" spans="40:41" ht="12.75">
      <c r="AN115" s="1"/>
      <c r="AO115" s="1">
        <f t="shared" si="3"/>
        <v>33.6</v>
      </c>
    </row>
    <row r="116" spans="40:41" ht="12.75">
      <c r="AN116" s="1"/>
      <c r="AO116" s="1">
        <f t="shared" si="3"/>
        <v>33.6</v>
      </c>
    </row>
    <row r="117" spans="40:41" ht="12.75">
      <c r="AN117" s="1"/>
      <c r="AO117" s="1">
        <f t="shared" si="3"/>
        <v>33.6</v>
      </c>
    </row>
    <row r="118" spans="40:41" ht="12.75">
      <c r="AN118" s="1"/>
      <c r="AO118" s="1">
        <f t="shared" si="3"/>
        <v>33.6</v>
      </c>
    </row>
    <row r="119" spans="40:41" ht="12.75">
      <c r="AN119" s="1"/>
      <c r="AO119" s="1">
        <f t="shared" si="3"/>
        <v>33.6</v>
      </c>
    </row>
    <row r="120" spans="40:41" ht="12.75">
      <c r="AN120" s="1"/>
      <c r="AO120" s="1">
        <f t="shared" si="3"/>
        <v>33.6</v>
      </c>
    </row>
    <row r="121" spans="40:41" ht="12.75">
      <c r="AN121" s="1"/>
      <c r="AO121" s="1">
        <f t="shared" si="3"/>
        <v>33.6</v>
      </c>
    </row>
    <row r="122" spans="40:41" ht="12.75">
      <c r="AN122" s="1"/>
      <c r="AO122" s="1">
        <f t="shared" si="3"/>
        <v>33.6</v>
      </c>
    </row>
    <row r="123" spans="40:41" ht="12.75">
      <c r="AN123" s="1"/>
      <c r="AO123" s="1">
        <f t="shared" si="3"/>
        <v>33.6</v>
      </c>
    </row>
    <row r="124" spans="40:41" ht="12.75">
      <c r="AN124" s="1"/>
      <c r="AO124" s="1">
        <f t="shared" si="3"/>
        <v>33.6</v>
      </c>
    </row>
    <row r="125" spans="40:41" ht="12.75">
      <c r="AN125" s="1"/>
      <c r="AO125" s="1">
        <f t="shared" si="3"/>
        <v>33.6</v>
      </c>
    </row>
    <row r="126" spans="40:41" ht="12.75">
      <c r="AN126" s="1"/>
      <c r="AO126" s="1">
        <f t="shared" si="3"/>
        <v>33.6</v>
      </c>
    </row>
    <row r="127" spans="40:41" ht="12.75">
      <c r="AN127" s="1"/>
      <c r="AO127" s="1">
        <f t="shared" si="3"/>
        <v>33.6</v>
      </c>
    </row>
    <row r="128" spans="40:41" ht="12.75">
      <c r="AN128" s="1"/>
      <c r="AO128" s="1">
        <f t="shared" si="3"/>
        <v>33.6</v>
      </c>
    </row>
    <row r="129" spans="40:41" ht="12.75">
      <c r="AN129" s="1"/>
      <c r="AO129" s="1">
        <f t="shared" si="3"/>
        <v>33.6</v>
      </c>
    </row>
    <row r="130" spans="40:41" ht="12.75">
      <c r="AN130" s="1"/>
      <c r="AO130" s="1">
        <f t="shared" si="3"/>
        <v>33.6</v>
      </c>
    </row>
    <row r="131" spans="40:41" ht="12.75">
      <c r="AN131" s="1"/>
      <c r="AO131" s="1">
        <f aca="true" t="shared" si="4" ref="AO131:AO172">IF(AN131&lt;45,42*(AN131+180)/225,AN131)</f>
        <v>33.6</v>
      </c>
    </row>
    <row r="132" spans="40:41" ht="12.75">
      <c r="AN132" s="1"/>
      <c r="AO132" s="1">
        <f t="shared" si="4"/>
        <v>33.6</v>
      </c>
    </row>
    <row r="133" spans="40:41" ht="12.75">
      <c r="AN133" s="1"/>
      <c r="AO133" s="1">
        <f t="shared" si="4"/>
        <v>33.6</v>
      </c>
    </row>
    <row r="134" spans="40:41" ht="12.75">
      <c r="AN134" s="1"/>
      <c r="AO134" s="1">
        <f t="shared" si="4"/>
        <v>33.6</v>
      </c>
    </row>
    <row r="135" spans="40:41" ht="12.75">
      <c r="AN135" s="1"/>
      <c r="AO135" s="1">
        <f t="shared" si="4"/>
        <v>33.6</v>
      </c>
    </row>
    <row r="136" spans="40:41" ht="12.75">
      <c r="AN136" s="1"/>
      <c r="AO136" s="1">
        <f t="shared" si="4"/>
        <v>33.6</v>
      </c>
    </row>
    <row r="137" spans="40:41" ht="12.75">
      <c r="AN137" s="1"/>
      <c r="AO137" s="1">
        <f t="shared" si="4"/>
        <v>33.6</v>
      </c>
    </row>
    <row r="138" spans="40:41" ht="12.75">
      <c r="AN138" s="1"/>
      <c r="AO138" s="1">
        <f t="shared" si="4"/>
        <v>33.6</v>
      </c>
    </row>
    <row r="139" spans="40:41" ht="12.75">
      <c r="AN139" s="1"/>
      <c r="AO139" s="1">
        <f t="shared" si="4"/>
        <v>33.6</v>
      </c>
    </row>
    <row r="140" spans="40:41" ht="12.75">
      <c r="AN140" s="1"/>
      <c r="AO140" s="1">
        <f t="shared" si="4"/>
        <v>33.6</v>
      </c>
    </row>
    <row r="141" spans="40:41" ht="12.75">
      <c r="AN141" s="1"/>
      <c r="AO141" s="1">
        <f t="shared" si="4"/>
        <v>33.6</v>
      </c>
    </row>
    <row r="142" spans="40:41" ht="12.75">
      <c r="AN142" s="1"/>
      <c r="AO142" s="1">
        <f t="shared" si="4"/>
        <v>33.6</v>
      </c>
    </row>
    <row r="143" spans="40:41" ht="12.75">
      <c r="AN143" s="1"/>
      <c r="AO143" s="1">
        <f t="shared" si="4"/>
        <v>33.6</v>
      </c>
    </row>
    <row r="144" spans="40:41" ht="12.75">
      <c r="AN144" s="1"/>
      <c r="AO144" s="1">
        <f t="shared" si="4"/>
        <v>33.6</v>
      </c>
    </row>
    <row r="145" spans="40:41" ht="12.75">
      <c r="AN145" s="1"/>
      <c r="AO145" s="1">
        <f t="shared" si="4"/>
        <v>33.6</v>
      </c>
    </row>
    <row r="146" spans="40:41" ht="12.75">
      <c r="AN146" s="1"/>
      <c r="AO146" s="1">
        <f t="shared" si="4"/>
        <v>33.6</v>
      </c>
    </row>
    <row r="147" spans="40:41" ht="12.75">
      <c r="AN147" s="1"/>
      <c r="AO147" s="1">
        <f t="shared" si="4"/>
        <v>33.6</v>
      </c>
    </row>
    <row r="148" spans="40:41" ht="12.75">
      <c r="AN148" s="1"/>
      <c r="AO148" s="1">
        <f t="shared" si="4"/>
        <v>33.6</v>
      </c>
    </row>
    <row r="149" spans="40:41" ht="12.75">
      <c r="AN149" s="1"/>
      <c r="AO149" s="1">
        <f t="shared" si="4"/>
        <v>33.6</v>
      </c>
    </row>
    <row r="150" spans="40:41" ht="12.75">
      <c r="AN150" s="1"/>
      <c r="AO150" s="1">
        <f t="shared" si="4"/>
        <v>33.6</v>
      </c>
    </row>
    <row r="151" spans="40:41" ht="12.75">
      <c r="AN151" s="1"/>
      <c r="AO151" s="1">
        <f t="shared" si="4"/>
        <v>33.6</v>
      </c>
    </row>
    <row r="152" spans="40:41" ht="12.75">
      <c r="AN152" s="1"/>
      <c r="AO152" s="1">
        <f t="shared" si="4"/>
        <v>33.6</v>
      </c>
    </row>
    <row r="153" spans="40:41" ht="12.75">
      <c r="AN153" s="1"/>
      <c r="AO153" s="1">
        <f t="shared" si="4"/>
        <v>33.6</v>
      </c>
    </row>
    <row r="154" spans="40:41" ht="12.75">
      <c r="AN154" s="1"/>
      <c r="AO154" s="1">
        <f t="shared" si="4"/>
        <v>33.6</v>
      </c>
    </row>
    <row r="155" spans="40:41" ht="12.75">
      <c r="AN155" s="1"/>
      <c r="AO155" s="1">
        <f t="shared" si="4"/>
        <v>33.6</v>
      </c>
    </row>
    <row r="156" spans="40:41" ht="12.75">
      <c r="AN156" s="1"/>
      <c r="AO156" s="1">
        <f t="shared" si="4"/>
        <v>33.6</v>
      </c>
    </row>
    <row r="157" spans="40:41" ht="12.75">
      <c r="AN157" s="1"/>
      <c r="AO157" s="1">
        <f t="shared" si="4"/>
        <v>33.6</v>
      </c>
    </row>
    <row r="158" spans="40:41" ht="12.75">
      <c r="AN158" s="1"/>
      <c r="AO158" s="1">
        <f t="shared" si="4"/>
        <v>33.6</v>
      </c>
    </row>
    <row r="159" spans="40:41" ht="12.75">
      <c r="AN159" s="1"/>
      <c r="AO159" s="1">
        <f t="shared" si="4"/>
        <v>33.6</v>
      </c>
    </row>
    <row r="160" spans="40:41" ht="12.75">
      <c r="AN160" s="1"/>
      <c r="AO160" s="1">
        <f t="shared" si="4"/>
        <v>33.6</v>
      </c>
    </row>
    <row r="161" spans="40:41" ht="12.75">
      <c r="AN161" s="1"/>
      <c r="AO161" s="1">
        <f t="shared" si="4"/>
        <v>33.6</v>
      </c>
    </row>
    <row r="162" spans="40:41" ht="12.75">
      <c r="AN162" s="1"/>
      <c r="AO162" s="1">
        <f t="shared" si="4"/>
        <v>33.6</v>
      </c>
    </row>
    <row r="163" spans="40:41" ht="12.75">
      <c r="AN163" s="1"/>
      <c r="AO163" s="1">
        <f t="shared" si="4"/>
        <v>33.6</v>
      </c>
    </row>
    <row r="164" spans="40:41" ht="12.75">
      <c r="AN164" s="1"/>
      <c r="AO164" s="1">
        <f t="shared" si="4"/>
        <v>33.6</v>
      </c>
    </row>
    <row r="165" spans="40:41" ht="12.75">
      <c r="AN165" s="1"/>
      <c r="AO165" s="1">
        <f t="shared" si="4"/>
        <v>33.6</v>
      </c>
    </row>
    <row r="166" spans="40:41" ht="12.75">
      <c r="AN166" s="1"/>
      <c r="AO166" s="1">
        <f t="shared" si="4"/>
        <v>33.6</v>
      </c>
    </row>
    <row r="167" spans="40:41" ht="12.75">
      <c r="AN167" s="1"/>
      <c r="AO167" s="1">
        <f t="shared" si="4"/>
        <v>33.6</v>
      </c>
    </row>
    <row r="168" spans="40:41" ht="12.75">
      <c r="AN168" s="1"/>
      <c r="AO168" s="1">
        <f t="shared" si="4"/>
        <v>33.6</v>
      </c>
    </row>
    <row r="169" spans="40:41" ht="12.75">
      <c r="AN169" s="1"/>
      <c r="AO169" s="1">
        <f t="shared" si="4"/>
        <v>33.6</v>
      </c>
    </row>
    <row r="170" spans="40:41" ht="12.75">
      <c r="AN170" s="1"/>
      <c r="AO170" s="1">
        <f t="shared" si="4"/>
        <v>33.6</v>
      </c>
    </row>
    <row r="171" spans="40:41" ht="12.75">
      <c r="AN171" s="1"/>
      <c r="AO171" s="1">
        <f t="shared" si="4"/>
        <v>33.6</v>
      </c>
    </row>
    <row r="172" spans="40:41" ht="12.75">
      <c r="AN172" s="1"/>
      <c r="AO172" s="1">
        <f t="shared" si="4"/>
        <v>33.6</v>
      </c>
    </row>
  </sheetData>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Z192"/>
  <sheetViews>
    <sheetView workbookViewId="0" topLeftCell="A1">
      <pane xSplit="1" ySplit="1" topLeftCell="AA164" activePane="bottomRight" state="frozen"/>
      <selection pane="topLeft" activeCell="T65502" sqref="T65502:IV65502"/>
      <selection pane="topRight" activeCell="T65502" sqref="T65502:IV65502"/>
      <selection pane="bottomLeft" activeCell="T65502" sqref="T65502:IV65502"/>
      <selection pane="bottomRight" activeCell="AI186" sqref="AI186"/>
    </sheetView>
  </sheetViews>
  <sheetFormatPr defaultColWidth="9.140625" defaultRowHeight="12.75"/>
  <cols>
    <col min="1" max="1" width="26.421875" style="4" customWidth="1"/>
    <col min="2" max="2" width="5.421875" style="4" bestFit="1" customWidth="1"/>
    <col min="3" max="4" width="13.28125" style="4" bestFit="1" customWidth="1"/>
    <col min="5" max="5" width="8.140625" style="4" bestFit="1" customWidth="1"/>
    <col min="6" max="8" width="6.8515625" style="4" hidden="1" customWidth="1"/>
    <col min="9" max="9" width="7.00390625" style="4" hidden="1" customWidth="1"/>
    <col min="10" max="12" width="7.28125" style="4" hidden="1" customWidth="1"/>
    <col min="13" max="18" width="6.140625" style="4" hidden="1" customWidth="1"/>
    <col min="19" max="19" width="6.57421875" style="4" hidden="1" customWidth="1"/>
    <col min="20" max="20" width="7.421875" style="4" hidden="1" customWidth="1"/>
    <col min="21" max="21" width="7.00390625" style="5" hidden="1" customWidth="1"/>
    <col min="22" max="22" width="8.140625" style="5" hidden="1" customWidth="1"/>
    <col min="23" max="23" width="7.00390625" style="5" hidden="1" customWidth="1"/>
    <col min="24" max="24" width="10.140625" style="5" customWidth="1"/>
    <col min="25" max="25" width="9.7109375" style="6" bestFit="1" customWidth="1"/>
    <col min="26" max="26" width="7.8515625" style="5" customWidth="1"/>
    <col min="27" max="27" width="7.28125" style="5" customWidth="1"/>
    <col min="28" max="28" width="9.7109375" style="5" customWidth="1"/>
    <col min="29" max="29" width="7.57421875" style="5" bestFit="1" customWidth="1"/>
    <col min="30" max="30" width="32.00390625" style="6" customWidth="1"/>
    <col min="31" max="31" width="29.28125" style="4" hidden="1" customWidth="1"/>
    <col min="32" max="33" width="22.421875" style="4" hidden="1" customWidth="1"/>
    <col min="34" max="34" width="9.57421875" style="4" bestFit="1" customWidth="1"/>
    <col min="35" max="35" width="19.57421875" style="4" customWidth="1"/>
    <col min="36" max="36" width="20.00390625" style="4" bestFit="1" customWidth="1"/>
    <col min="37" max="37" width="14.28125" style="4" bestFit="1" customWidth="1"/>
    <col min="38" max="39" width="13.140625" style="4" bestFit="1" customWidth="1"/>
    <col min="40" max="40" width="13.8515625" style="4" bestFit="1" customWidth="1"/>
    <col min="41" max="41" width="13.8515625" style="4" hidden="1" customWidth="1"/>
    <col min="42" max="47" width="8.00390625" style="4" hidden="1" customWidth="1"/>
    <col min="48" max="48" width="9.140625" style="0" hidden="1" customWidth="1"/>
    <col min="49" max="49" width="9.140625" style="4" hidden="1" customWidth="1"/>
    <col min="51" max="51" width="9.8515625" style="4" bestFit="1" customWidth="1"/>
    <col min="52" max="52" width="13.00390625" style="26" customWidth="1"/>
    <col min="53" max="16384" width="9.140625" style="4" customWidth="1"/>
  </cols>
  <sheetData>
    <row r="1" spans="1:51" s="3" customFormat="1" ht="12.75">
      <c r="A1" s="3" t="s">
        <v>430</v>
      </c>
      <c r="B1" s="3" t="s">
        <v>429</v>
      </c>
      <c r="C1" s="3" t="s">
        <v>1056</v>
      </c>
      <c r="D1" s="3" t="s">
        <v>1054</v>
      </c>
      <c r="E1" s="3" t="s">
        <v>1055</v>
      </c>
      <c r="F1" s="3" t="s">
        <v>1090</v>
      </c>
      <c r="G1" s="3" t="s">
        <v>1091</v>
      </c>
      <c r="H1" s="3" t="s">
        <v>1092</v>
      </c>
      <c r="I1" s="3" t="s">
        <v>1093</v>
      </c>
      <c r="J1" s="3" t="s">
        <v>1094</v>
      </c>
      <c r="K1" s="3" t="s">
        <v>1095</v>
      </c>
      <c r="L1" s="3" t="s">
        <v>1096</v>
      </c>
      <c r="M1" s="3" t="s">
        <v>302</v>
      </c>
      <c r="N1" s="3" t="s">
        <v>301</v>
      </c>
      <c r="O1" s="3" t="s">
        <v>303</v>
      </c>
      <c r="P1" s="3" t="s">
        <v>304</v>
      </c>
      <c r="Q1" s="3" t="s">
        <v>305</v>
      </c>
      <c r="R1" s="3" t="s">
        <v>306</v>
      </c>
      <c r="S1" s="3" t="s">
        <v>309</v>
      </c>
      <c r="T1" s="3" t="s">
        <v>1097</v>
      </c>
      <c r="U1" s="7" t="s">
        <v>97</v>
      </c>
      <c r="V1" s="7" t="s">
        <v>291</v>
      </c>
      <c r="W1" s="7" t="s">
        <v>292</v>
      </c>
      <c r="X1" s="7" t="s">
        <v>935</v>
      </c>
      <c r="Y1" s="8" t="s">
        <v>63</v>
      </c>
      <c r="Z1" s="7" t="s">
        <v>930</v>
      </c>
      <c r="AA1" s="7" t="s">
        <v>929</v>
      </c>
      <c r="AB1" s="7" t="s">
        <v>62</v>
      </c>
      <c r="AC1" s="7" t="s">
        <v>325</v>
      </c>
      <c r="AD1" s="8" t="s">
        <v>926</v>
      </c>
      <c r="AE1" s="3" t="s">
        <v>1098</v>
      </c>
      <c r="AF1" s="3" t="s">
        <v>1099</v>
      </c>
      <c r="AG1" s="3" t="s">
        <v>517</v>
      </c>
      <c r="AH1" s="3" t="s">
        <v>1031</v>
      </c>
      <c r="AI1" s="3" t="s">
        <v>1023</v>
      </c>
      <c r="AJ1" s="3" t="s">
        <v>1024</v>
      </c>
      <c r="AK1" s="3" t="s">
        <v>1025</v>
      </c>
      <c r="AL1" s="3" t="s">
        <v>1026</v>
      </c>
      <c r="AM1" s="3" t="s">
        <v>1027</v>
      </c>
      <c r="AN1" s="3" t="s">
        <v>1030</v>
      </c>
      <c r="AO1" s="3" t="s">
        <v>271</v>
      </c>
      <c r="AP1" s="3" t="s">
        <v>1076</v>
      </c>
      <c r="AQ1" s="3" t="s">
        <v>1077</v>
      </c>
      <c r="AR1" s="3" t="s">
        <v>1078</v>
      </c>
      <c r="AS1" s="3" t="s">
        <v>1079</v>
      </c>
      <c r="AT1" s="3" t="s">
        <v>1080</v>
      </c>
      <c r="AU1" s="3" t="s">
        <v>1081</v>
      </c>
      <c r="AV1" s="3" t="s">
        <v>1127</v>
      </c>
      <c r="AW1" s="25" t="s">
        <v>288</v>
      </c>
      <c r="AX1" s="3" t="s">
        <v>236</v>
      </c>
      <c r="AY1" s="3" t="s">
        <v>233</v>
      </c>
    </row>
    <row r="2" spans="1:52" ht="12.75">
      <c r="A2" s="4" t="s">
        <v>48</v>
      </c>
      <c r="B2" s="4">
        <v>3</v>
      </c>
      <c r="C2" s="4" t="s">
        <v>477</v>
      </c>
      <c r="F2" s="4">
        <f aca="true" t="shared" si="0" ref="F2:F33">IF(ISBLANK(C2),"",VLOOKUP(C2,TblSkillLevels,2,FALSE))</f>
        <v>1</v>
      </c>
      <c r="G2" s="4">
        <f aca="true" t="shared" si="1" ref="G2:G33">IF(ISBLANK(D2),"",VLOOKUP(D2,TblSkillLevels,2,FALSE))</f>
      </c>
      <c r="H2" s="4">
        <f aca="true" t="shared" si="2" ref="H2:H33">IF(ISBLANK(E2),"",VLOOKUP(E2,TblSkillLevels,2,FALSE))</f>
      </c>
      <c r="I2" s="4">
        <f>INT(Spellcasting/2)+INT(2*AVERAGE(F2:H2))+3*RingOfWizardry+4*StaffOfWizardry+2*RobeOfTheArchmagi</f>
        <v>11</v>
      </c>
      <c r="J2" s="4">
        <f aca="true" t="shared" si="3" ref="J2:J33">IF(ISBLANK(C2),"",VLOOKUP(C2,TblSkillItems,2,FALSE))</f>
        <v>0</v>
      </c>
      <c r="K2" s="4">
        <f aca="true" t="shared" si="4" ref="K2:K33">IF(ISBLANK(D2),"",VLOOKUP(D2,TblSkillItems,2,FALSE))</f>
      </c>
      <c r="L2" s="4">
        <f>IF(ISBLANK(E2),"",VLOOKUP(E2,TblSkillItems,2,FALSE))</f>
      </c>
      <c r="M2" s="4">
        <f>IF(ISBLANK($C2),0,VLOOKUP($C2,TblOppSchools,3,FALSE))</f>
        <v>0</v>
      </c>
      <c r="N2" s="4">
        <f>IF(M2=0,"",VLOOKUP(M2,TblSkillItems,2,FALSE))</f>
      </c>
      <c r="O2" s="4">
        <f>IF(ISBLANK($D2),0,VLOOKUP($D2,TblOppSchools,3,FALSE))</f>
        <v>0</v>
      </c>
      <c r="P2" s="4">
        <f aca="true" t="shared" si="5" ref="P2:P33">IF(O2=0,"",VLOOKUP(O2,TblSkillItems,2,FALSE))</f>
      </c>
      <c r="Q2" s="4">
        <f>IF(ISBLANK($E2),0,VLOOKUP($E2,TblOppSchools,3,FALSE))</f>
        <v>0</v>
      </c>
      <c r="R2" s="4">
        <f aca="true" t="shared" si="6" ref="R2:R65">IF(Q2=0,"",VLOOKUP(Q2,TblSkillItems,2,FALSE))</f>
      </c>
      <c r="S2" s="4">
        <f>SUM(J2:L2)-SUM(N2,P2,R2)</f>
        <v>0</v>
      </c>
      <c r="T2" s="4">
        <f>IF(S2&gt;0,1.5^S2,1/2^(-S2))</f>
        <v>1</v>
      </c>
      <c r="U2" s="5">
        <f aca="true" t="shared" si="7" ref="U2:U33">INT(INT(I2*T2)*Intelligence/10)</f>
        <v>15</v>
      </c>
      <c r="V2" s="5">
        <f aca="true" t="shared" si="8" ref="V2:V33">MIN(200,IF(U2&lt;=50,U2,IF(U2&lt;=150,INT(U2/2)+25,IF(U2&lt;=350,INT((U2-50)/4)+75,INT((INT((U2-50)/4)-75)/2)+150))))</f>
        <v>15</v>
      </c>
      <c r="X2" s="5">
        <f>MIN(V2:W2)</f>
        <v>15</v>
      </c>
      <c r="Z2" s="5" t="s">
        <v>59</v>
      </c>
      <c r="AB2" s="5">
        <v>1</v>
      </c>
      <c r="AC2" s="5">
        <f>1+INT(X2/8)</f>
        <v>2</v>
      </c>
      <c r="AD2" s="6" t="s">
        <v>332</v>
      </c>
      <c r="AE2" s="4" t="s">
        <v>727</v>
      </c>
      <c r="AH2" s="4" t="b">
        <f aca="true" t="shared" si="9" ref="AH2:AH33">IF(AND((CharLevel&gt;=$B2),OR($AP2:$AU2)),TRUE,FALSE)</f>
        <v>0</v>
      </c>
      <c r="AI2" s="4" t="s">
        <v>38</v>
      </c>
      <c r="AJ2" s="4" t="s">
        <v>631</v>
      </c>
      <c r="AO2" s="4">
        <f>COUNTIF(SpellbooksOwned!$D$2:$K$49,$A2)</f>
        <v>2</v>
      </c>
      <c r="AP2" s="4">
        <f>IF(ISBLANK(AI2),0,VLOOKUP(AI2,SpellbooksOwned!$A$1:$B$49,2,FALSE))</f>
        <v>0</v>
      </c>
      <c r="AQ2" s="4">
        <f>IF(ISBLANK(AJ2),0,VLOOKUP(AJ2,SpellbooksOwned!$A$1:$B$49,2,FALSE))</f>
        <v>0</v>
      </c>
      <c r="AR2" s="4">
        <f>IF(ISBLANK(AI2),0,VLOOKUP(AI2,SpellbooksOwned!$A$1:$B$49,2,FALSE))</f>
        <v>0</v>
      </c>
      <c r="AS2" s="4">
        <f>IF(ISBLANK(AL2),0,VLOOKUP(AL2,SpellbooksOwned!$A$1:$B$49,2,FALSE))</f>
        <v>0</v>
      </c>
      <c r="AT2" s="4">
        <f>IF(ISBLANK(AM2),0,VLOOKUP(AM2,SpellbooksOwned!$A$1:$B$49,2,FALSE))</f>
        <v>0</v>
      </c>
      <c r="AU2" s="4">
        <f>IF(ISBLANK(AN2),0,VLOOKUP(AN2,SpellbooksOwned!$A$1:$B$49,2,FALSE))</f>
        <v>0</v>
      </c>
      <c r="AV2" s="4">
        <f>60-6*INT(I2*T2)-2*Intelligence+VLOOKUP(B2,TblSpellDifficulty,2)</f>
        <v>1</v>
      </c>
      <c r="AW2" s="26">
        <f>VLOOKUP(MAX(-181,MIN(100,AV2)),TblSpellFailRemap,2,FALSE)</f>
        <v>28</v>
      </c>
      <c r="AX2" s="29">
        <f aca="true" t="shared" si="10" ref="AX2:AX33">NORMDIST(AW2,50.5,100/6,TRUE)</f>
        <v>0.08850805170850018</v>
      </c>
      <c r="AY2" s="4" t="str">
        <f>LOOKUP(AW2,TblFailureCategories)</f>
        <v>Very Good</v>
      </c>
      <c r="AZ2" s="4"/>
    </row>
    <row r="3" spans="1:52" ht="12.75">
      <c r="A3" s="9" t="s">
        <v>49</v>
      </c>
      <c r="B3" s="4">
        <v>4</v>
      </c>
      <c r="C3" s="4" t="s">
        <v>589</v>
      </c>
      <c r="F3" s="4">
        <f t="shared" si="0"/>
        <v>6</v>
      </c>
      <c r="G3" s="4">
        <f t="shared" si="1"/>
      </c>
      <c r="H3" s="4">
        <f t="shared" si="2"/>
      </c>
      <c r="I3" s="4">
        <f aca="true" t="shared" si="11" ref="I3:I16">INT(Spellcasting/2)+INT(2*AVERAGE(F3:H3))+3*RingOfWizardry+4*StaffOfWizardry+2*RobeOfTheArchmagi</f>
        <v>21</v>
      </c>
      <c r="J3" s="4">
        <f t="shared" si="3"/>
        <v>0</v>
      </c>
      <c r="K3" s="4">
        <f t="shared" si="4"/>
      </c>
      <c r="L3" s="4">
        <f aca="true" t="shared" si="12" ref="L3:L66">IF(ISBLANK(E3),"",VLOOKUP(E3,TblSkillItems,2,FALSE))</f>
      </c>
      <c r="M3" s="4">
        <f aca="true" t="shared" si="13" ref="M3:M66">IF(ISBLANK($C3),0,VLOOKUP($C3,TblOppSchools,3,FALSE))</f>
        <v>0</v>
      </c>
      <c r="N3" s="4">
        <f aca="true" t="shared" si="14" ref="N3:N66">IF(M3=0,"",VLOOKUP(M3,TblSkillItems,2,FALSE))</f>
      </c>
      <c r="O3" s="4">
        <f aca="true" t="shared" si="15" ref="O3:O66">IF(ISBLANK($D3),0,VLOOKUP($D3,TblOppSchools,3,FALSE))</f>
        <v>0</v>
      </c>
      <c r="P3" s="4">
        <f t="shared" si="5"/>
      </c>
      <c r="Q3" s="4">
        <f aca="true" t="shared" si="16" ref="Q3:Q66">IF(ISBLANK($E3),0,VLOOKUP($E3,TblOppSchools,3,FALSE))</f>
        <v>0</v>
      </c>
      <c r="R3" s="4">
        <f t="shared" si="6"/>
      </c>
      <c r="S3" s="4">
        <f aca="true" t="shared" si="17" ref="S3:S66">SUM(J3:L3)-SUM(N3,P3,R3)</f>
        <v>0</v>
      </c>
      <c r="T3" s="4">
        <f aca="true" t="shared" si="18" ref="T3:T66">IF(S3&gt;0,1.5^S3,1/2^(-S3))</f>
        <v>1</v>
      </c>
      <c r="U3" s="5">
        <f t="shared" si="7"/>
        <v>29</v>
      </c>
      <c r="V3" s="5">
        <f t="shared" si="8"/>
        <v>29</v>
      </c>
      <c r="X3" s="5">
        <f aca="true" t="shared" si="19" ref="X3:X16">MIN(V3:W3)</f>
        <v>29</v>
      </c>
      <c r="Z3" s="5" t="s">
        <v>59</v>
      </c>
      <c r="AB3" s="5">
        <v>1</v>
      </c>
      <c r="AC3" s="5">
        <f>1+INT(X3/8)</f>
        <v>4</v>
      </c>
      <c r="AD3" s="6" t="s">
        <v>332</v>
      </c>
      <c r="AE3" s="4" t="s">
        <v>911</v>
      </c>
      <c r="AH3" s="4" t="e">
        <f t="shared" si="9"/>
        <v>#N/A</v>
      </c>
      <c r="AI3" s="4" t="s">
        <v>1032</v>
      </c>
      <c r="AO3" s="4">
        <f>COUNTIF(SpellbooksOwned!$D$2:$K$49,$A3)</f>
        <v>0</v>
      </c>
      <c r="AP3" s="4" t="e">
        <f>IF(ISBLANK(AI3),0,VLOOKUP(AI3,SpellbooksOwned!$A$1:$B$49,2,FALSE))</f>
        <v>#N/A</v>
      </c>
      <c r="AQ3" s="4">
        <f>IF(ISBLANK(AJ3),0,VLOOKUP(AJ3,SpellbooksOwned!$A$1:$B$49,2,FALSE))</f>
        <v>0</v>
      </c>
      <c r="AR3" s="4">
        <f>IF(ISBLANK(AK3),0,VLOOKUP(AK3,SpellbooksOwned!$A$1:$B$49,2,FALSE))</f>
        <v>0</v>
      </c>
      <c r="AS3" s="4">
        <f>IF(ISBLANK(AL3),0,VLOOKUP(AL3,SpellbooksOwned!$A$1:$B$49,2,FALSE))</f>
        <v>0</v>
      </c>
      <c r="AT3" s="4">
        <f>IF(ISBLANK(AM3),0,VLOOKUP(AM3,SpellbooksOwned!$A$1:$B$49,2,FALSE))</f>
        <v>0</v>
      </c>
      <c r="AU3" s="4">
        <f>IF(ISBLANK(AN3),0,VLOOKUP(AN3,SpellbooksOwned!$A$1:$B$49,2,FALSE))</f>
        <v>0</v>
      </c>
      <c r="AV3" s="4">
        <f aca="true" t="shared" si="20" ref="AV3:AV66">60-6*INT(I3*T3)-2*Intelligence+VLOOKUP(B3,TblSpellDifficulty,2)</f>
        <v>-24</v>
      </c>
      <c r="AW3" s="26">
        <f aca="true" t="shared" si="21" ref="AW3:AW66">VLOOKUP(MAX(-181,MIN(100,AV3)),TblSpellFailRemap,2,FALSE)</f>
        <v>22</v>
      </c>
      <c r="AX3" s="29">
        <f t="shared" si="10"/>
        <v>0.043632902942498775</v>
      </c>
      <c r="AY3" s="4" t="str">
        <f aca="true" t="shared" si="22" ref="AY3:AY66">LOOKUP(AW3,TblFailureCategories)</f>
        <v>Very Good</v>
      </c>
      <c r="AZ3" s="4"/>
    </row>
    <row r="4" spans="1:52" ht="12.75">
      <c r="A4" s="4" t="s">
        <v>406</v>
      </c>
      <c r="B4" s="4">
        <v>5</v>
      </c>
      <c r="C4" s="4" t="s">
        <v>371</v>
      </c>
      <c r="F4" s="4">
        <f t="shared" si="0"/>
        <v>1</v>
      </c>
      <c r="G4" s="4">
        <f t="shared" si="1"/>
      </c>
      <c r="H4" s="4">
        <f t="shared" si="2"/>
      </c>
      <c r="I4" s="4">
        <f t="shared" si="11"/>
        <v>11</v>
      </c>
      <c r="J4" s="4">
        <f t="shared" si="3"/>
        <v>0</v>
      </c>
      <c r="K4" s="4">
        <f t="shared" si="4"/>
      </c>
      <c r="L4" s="4">
        <f t="shared" si="12"/>
      </c>
      <c r="M4" s="4">
        <f t="shared" si="13"/>
        <v>0</v>
      </c>
      <c r="N4" s="4">
        <f t="shared" si="14"/>
      </c>
      <c r="O4" s="4">
        <f t="shared" si="15"/>
        <v>0</v>
      </c>
      <c r="P4" s="4">
        <f t="shared" si="5"/>
      </c>
      <c r="Q4" s="4">
        <f t="shared" si="16"/>
        <v>0</v>
      </c>
      <c r="R4" s="4">
        <f t="shared" si="6"/>
      </c>
      <c r="S4" s="4">
        <f t="shared" si="17"/>
        <v>0</v>
      </c>
      <c r="T4" s="4">
        <f t="shared" si="18"/>
        <v>1</v>
      </c>
      <c r="U4" s="5">
        <f t="shared" si="7"/>
        <v>15</v>
      </c>
      <c r="V4" s="5">
        <f t="shared" si="8"/>
        <v>15</v>
      </c>
      <c r="W4" s="5">
        <v>200</v>
      </c>
      <c r="X4" s="5">
        <f t="shared" si="19"/>
        <v>15</v>
      </c>
      <c r="Y4" s="6" t="s">
        <v>334</v>
      </c>
      <c r="Z4" s="5" t="s">
        <v>932</v>
      </c>
      <c r="AB4" s="5">
        <v>1</v>
      </c>
      <c r="AD4" s="6" t="s">
        <v>333</v>
      </c>
      <c r="AE4" s="4" t="s">
        <v>782</v>
      </c>
      <c r="AF4" s="4" t="s">
        <v>996</v>
      </c>
      <c r="AH4" s="4" t="b">
        <f t="shared" si="9"/>
        <v>0</v>
      </c>
      <c r="AI4" s="4" t="s">
        <v>609</v>
      </c>
      <c r="AO4" s="4">
        <f>COUNTIF(SpellbooksOwned!$D$2:$K$49,$A4)</f>
        <v>1</v>
      </c>
      <c r="AP4" s="4">
        <f>IF(ISBLANK(AI4),0,VLOOKUP(AI4,SpellbooksOwned!$A$1:$B$49,2,FALSE))</f>
        <v>0</v>
      </c>
      <c r="AQ4" s="4">
        <f>IF(ISBLANK(AJ4),0,VLOOKUP(AJ4,SpellbooksOwned!$A$1:$B$49,2,FALSE))</f>
        <v>0</v>
      </c>
      <c r="AR4" s="4">
        <f>IF(ISBLANK(AK4),0,VLOOKUP(AK4,SpellbooksOwned!$A$1:$B$49,2,FALSE))</f>
        <v>0</v>
      </c>
      <c r="AS4" s="4">
        <f>IF(ISBLANK(AL4),0,VLOOKUP(AL4,SpellbooksOwned!$A$1:$B$49,2,FALSE))</f>
        <v>0</v>
      </c>
      <c r="AT4" s="4">
        <f>IF(ISBLANK(AM4),0,VLOOKUP(AM4,SpellbooksOwned!$A$1:$B$49,2,FALSE))</f>
        <v>0</v>
      </c>
      <c r="AU4" s="4">
        <f>IF(ISBLANK(AN4),0,VLOOKUP(AN4,SpellbooksOwned!$A$1:$B$49,2,FALSE))</f>
        <v>0</v>
      </c>
      <c r="AV4" s="4">
        <f t="shared" si="20"/>
        <v>66</v>
      </c>
      <c r="AW4" s="26">
        <f t="shared" si="21"/>
        <v>66</v>
      </c>
      <c r="AX4" s="29">
        <f t="shared" si="10"/>
        <v>0.8238144797733274</v>
      </c>
      <c r="AY4" s="4" t="str">
        <f t="shared" si="22"/>
        <v>Very Poor</v>
      </c>
      <c r="AZ4" s="4"/>
    </row>
    <row r="5" spans="1:52" ht="12.75">
      <c r="A5" s="4" t="s">
        <v>356</v>
      </c>
      <c r="B5" s="4">
        <v>4</v>
      </c>
      <c r="C5" s="4" t="s">
        <v>374</v>
      </c>
      <c r="F5" s="4">
        <f t="shared" si="0"/>
        <v>1</v>
      </c>
      <c r="G5" s="4">
        <f t="shared" si="1"/>
      </c>
      <c r="H5" s="4">
        <f t="shared" si="2"/>
      </c>
      <c r="I5" s="4">
        <f t="shared" si="11"/>
        <v>11</v>
      </c>
      <c r="J5" s="4">
        <f t="shared" si="3"/>
        <v>0</v>
      </c>
      <c r="K5" s="4">
        <f t="shared" si="4"/>
      </c>
      <c r="L5" s="4">
        <f t="shared" si="12"/>
      </c>
      <c r="M5" s="4" t="str">
        <f t="shared" si="13"/>
        <v>Earth</v>
      </c>
      <c r="N5" s="4">
        <f t="shared" si="14"/>
        <v>0</v>
      </c>
      <c r="O5" s="4">
        <f t="shared" si="15"/>
        <v>0</v>
      </c>
      <c r="P5" s="4">
        <f t="shared" si="5"/>
      </c>
      <c r="Q5" s="4">
        <f t="shared" si="16"/>
        <v>0</v>
      </c>
      <c r="R5" s="4">
        <f t="shared" si="6"/>
      </c>
      <c r="S5" s="4">
        <f t="shared" si="17"/>
        <v>0</v>
      </c>
      <c r="T5" s="4">
        <f t="shared" si="18"/>
        <v>1</v>
      </c>
      <c r="U5" s="5">
        <f t="shared" si="7"/>
        <v>15</v>
      </c>
      <c r="V5" s="5">
        <f t="shared" si="8"/>
        <v>15</v>
      </c>
      <c r="W5" s="5">
        <v>100</v>
      </c>
      <c r="X5" s="5">
        <f t="shared" si="19"/>
        <v>15</v>
      </c>
      <c r="Y5" s="6">
        <f>(6+INT((X5+1)/2/6)+INT((X5+1)/2/7)+1)/2</f>
        <v>4.5</v>
      </c>
      <c r="Z5" s="5" t="s">
        <v>59</v>
      </c>
      <c r="AA5" s="5" t="s">
        <v>149</v>
      </c>
      <c r="AB5" s="5">
        <v>1</v>
      </c>
      <c r="AD5" s="6" t="s">
        <v>150</v>
      </c>
      <c r="AE5" s="4" t="s">
        <v>828</v>
      </c>
      <c r="AH5" s="4" t="b">
        <f t="shared" si="9"/>
        <v>1</v>
      </c>
      <c r="AI5" s="4" t="s">
        <v>27</v>
      </c>
      <c r="AO5" s="4">
        <f>COUNTIF(SpellbooksOwned!$D$2:$K$49,$A5)</f>
        <v>1</v>
      </c>
      <c r="AP5" s="4">
        <f>IF(ISBLANK(AI5),0,VLOOKUP(AI5,SpellbooksOwned!$A$1:$B$49,2,FALSE))</f>
        <v>1</v>
      </c>
      <c r="AQ5" s="4">
        <f>IF(ISBLANK(AJ5),0,VLOOKUP(AJ5,SpellbooksOwned!$A$1:$B$49,2,FALSE))</f>
        <v>0</v>
      </c>
      <c r="AR5" s="4">
        <f>IF(ISBLANK(AK5),0,VLOOKUP(AK5,SpellbooksOwned!$A$1:$B$49,2,FALSE))</f>
        <v>0</v>
      </c>
      <c r="AS5" s="4">
        <f>IF(ISBLANK(AL5),0,VLOOKUP(AL5,SpellbooksOwned!$A$1:$B$49,2,FALSE))</f>
        <v>0</v>
      </c>
      <c r="AT5" s="4">
        <f>IF(ISBLANK(AM5),0,VLOOKUP(AM5,SpellbooksOwned!$A$1:$B$49,2,FALSE))</f>
        <v>0</v>
      </c>
      <c r="AU5" s="4">
        <f>IF(ISBLANK(AN5),0,VLOOKUP(AN5,SpellbooksOwned!$A$1:$B$49,2,FALSE))</f>
        <v>0</v>
      </c>
      <c r="AV5" s="4">
        <f t="shared" si="20"/>
        <v>36</v>
      </c>
      <c r="AW5" s="26">
        <f t="shared" si="21"/>
        <v>41</v>
      </c>
      <c r="AX5" s="29">
        <f t="shared" si="10"/>
        <v>0.28433880816463963</v>
      </c>
      <c r="AY5" s="4" t="str">
        <f t="shared" si="22"/>
        <v>Fair</v>
      </c>
      <c r="AZ5" s="4"/>
    </row>
    <row r="6" spans="1:52" ht="12.75">
      <c r="A6" s="4" t="s">
        <v>412</v>
      </c>
      <c r="B6" s="4">
        <v>4</v>
      </c>
      <c r="C6" s="4" t="s">
        <v>420</v>
      </c>
      <c r="D6" s="4" t="s">
        <v>383</v>
      </c>
      <c r="F6" s="4">
        <f t="shared" si="0"/>
        <v>1</v>
      </c>
      <c r="G6" s="4">
        <f t="shared" si="1"/>
        <v>1</v>
      </c>
      <c r="H6" s="4">
        <f t="shared" si="2"/>
      </c>
      <c r="I6" s="4">
        <f t="shared" si="11"/>
        <v>11</v>
      </c>
      <c r="J6" s="4">
        <f t="shared" si="3"/>
        <v>0</v>
      </c>
      <c r="K6" s="4">
        <f t="shared" si="4"/>
        <v>0</v>
      </c>
      <c r="L6" s="4">
        <f t="shared" si="12"/>
      </c>
      <c r="M6" s="4">
        <f t="shared" si="13"/>
        <v>0</v>
      </c>
      <c r="N6" s="4">
        <f t="shared" si="14"/>
      </c>
      <c r="O6" s="4">
        <f t="shared" si="15"/>
        <v>0</v>
      </c>
      <c r="P6" s="4">
        <f t="shared" si="5"/>
      </c>
      <c r="Q6" s="4">
        <f t="shared" si="16"/>
        <v>0</v>
      </c>
      <c r="R6" s="4">
        <f t="shared" si="6"/>
      </c>
      <c r="S6" s="4">
        <f t="shared" si="17"/>
        <v>0</v>
      </c>
      <c r="T6" s="4">
        <f t="shared" si="18"/>
        <v>1</v>
      </c>
      <c r="U6" s="5">
        <f t="shared" si="7"/>
        <v>15</v>
      </c>
      <c r="V6" s="5">
        <f t="shared" si="8"/>
        <v>15</v>
      </c>
      <c r="X6" s="5">
        <f t="shared" si="19"/>
        <v>15</v>
      </c>
      <c r="Z6" s="5" t="s">
        <v>59</v>
      </c>
      <c r="AB6" s="5">
        <v>1</v>
      </c>
      <c r="AC6" s="5">
        <f>INT(X6*1.5)</f>
        <v>22</v>
      </c>
      <c r="AD6" s="6" t="s">
        <v>893</v>
      </c>
      <c r="AE6" s="4" t="s">
        <v>864</v>
      </c>
      <c r="AH6" s="4" t="b">
        <f t="shared" si="9"/>
        <v>1</v>
      </c>
      <c r="AI6" s="4" t="s">
        <v>682</v>
      </c>
      <c r="AO6" s="4">
        <f>COUNTIF(SpellbooksOwned!$D$2:$K$49,$A6)</f>
        <v>1</v>
      </c>
      <c r="AP6" s="4">
        <f>IF(ISBLANK(AI6),0,VLOOKUP(AI6,SpellbooksOwned!$A$1:$B$49,2,FALSE))</f>
        <v>1</v>
      </c>
      <c r="AQ6" s="4">
        <f>IF(ISBLANK(AJ6),0,VLOOKUP(AJ6,SpellbooksOwned!$A$1:$B$49,2,FALSE))</f>
        <v>0</v>
      </c>
      <c r="AR6" s="4">
        <f>IF(ISBLANK(AK6),0,VLOOKUP(AK6,SpellbooksOwned!$A$1:$B$49,2,FALSE))</f>
        <v>0</v>
      </c>
      <c r="AS6" s="4">
        <f>IF(ISBLANK(AL6),0,VLOOKUP(AL6,SpellbooksOwned!$A$1:$B$49,2,FALSE))</f>
        <v>0</v>
      </c>
      <c r="AT6" s="4">
        <f>IF(ISBLANK(AM6),0,VLOOKUP(AM6,SpellbooksOwned!$A$1:$B$49,2,FALSE))</f>
        <v>0</v>
      </c>
      <c r="AU6" s="4">
        <f>IF(ISBLANK(AN6),0,VLOOKUP(AN6,SpellbooksOwned!$A$1:$B$49,2,FALSE))</f>
        <v>0</v>
      </c>
      <c r="AV6" s="4">
        <f t="shared" si="20"/>
        <v>36</v>
      </c>
      <c r="AW6" s="26">
        <f t="shared" si="21"/>
        <v>41</v>
      </c>
      <c r="AX6" s="29">
        <f t="shared" si="10"/>
        <v>0.28433880816463963</v>
      </c>
      <c r="AY6" s="4" t="str">
        <f t="shared" si="22"/>
        <v>Fair</v>
      </c>
      <c r="AZ6" s="4"/>
    </row>
    <row r="7" spans="1:52" ht="12.75">
      <c r="A7" s="4" t="s">
        <v>422</v>
      </c>
      <c r="B7" s="4">
        <v>7</v>
      </c>
      <c r="C7" s="4" t="s">
        <v>383</v>
      </c>
      <c r="F7" s="4">
        <f t="shared" si="0"/>
        <v>1</v>
      </c>
      <c r="G7" s="4">
        <f t="shared" si="1"/>
      </c>
      <c r="H7" s="4">
        <f t="shared" si="2"/>
      </c>
      <c r="I7" s="4">
        <f t="shared" si="11"/>
        <v>11</v>
      </c>
      <c r="J7" s="4">
        <f t="shared" si="3"/>
        <v>0</v>
      </c>
      <c r="K7" s="4">
        <f t="shared" si="4"/>
      </c>
      <c r="L7" s="4">
        <f t="shared" si="12"/>
      </c>
      <c r="M7" s="4">
        <f t="shared" si="13"/>
        <v>0</v>
      </c>
      <c r="N7" s="4">
        <f t="shared" si="14"/>
      </c>
      <c r="O7" s="4">
        <f t="shared" si="15"/>
        <v>0</v>
      </c>
      <c r="P7" s="4">
        <f t="shared" si="5"/>
      </c>
      <c r="Q7" s="4">
        <f t="shared" si="16"/>
        <v>0</v>
      </c>
      <c r="R7" s="4">
        <f t="shared" si="6"/>
      </c>
      <c r="S7" s="4">
        <f t="shared" si="17"/>
        <v>0</v>
      </c>
      <c r="T7" s="4">
        <f t="shared" si="18"/>
        <v>1</v>
      </c>
      <c r="U7" s="5">
        <f t="shared" si="7"/>
        <v>15</v>
      </c>
      <c r="V7" s="5">
        <f t="shared" si="8"/>
        <v>15</v>
      </c>
      <c r="X7" s="5">
        <f t="shared" si="19"/>
        <v>15</v>
      </c>
      <c r="Z7" s="5" t="s">
        <v>64</v>
      </c>
      <c r="AB7" s="5" t="s">
        <v>158</v>
      </c>
      <c r="AC7" s="34"/>
      <c r="AD7" s="6" t="s">
        <v>335</v>
      </c>
      <c r="AE7" s="4" t="s">
        <v>795</v>
      </c>
      <c r="AH7" s="4" t="b">
        <f t="shared" si="9"/>
        <v>1</v>
      </c>
      <c r="AI7" s="4" t="s">
        <v>1016</v>
      </c>
      <c r="AJ7" s="4" t="s">
        <v>39</v>
      </c>
      <c r="AO7" s="4">
        <f>COUNTIF(SpellbooksOwned!$D$2:$K$49,$A7)</f>
        <v>2</v>
      </c>
      <c r="AP7" s="4">
        <f>IF(ISBLANK(AI7),0,VLOOKUP(AI7,SpellbooksOwned!$A$1:$B$49,2,FALSE))</f>
        <v>1</v>
      </c>
      <c r="AQ7" s="4">
        <f>IF(ISBLANK(AJ7),0,VLOOKUP(AJ7,SpellbooksOwned!$A$1:$B$49,2,FALSE))</f>
        <v>0</v>
      </c>
      <c r="AR7" s="4">
        <f>IF(ISBLANK(AK7),0,VLOOKUP(AK7,SpellbooksOwned!$A$1:$B$49,2,FALSE))</f>
        <v>0</v>
      </c>
      <c r="AS7" s="4">
        <f>IF(ISBLANK(AL7),0,VLOOKUP(AL7,SpellbooksOwned!$A$1:$B$49,2,FALSE))</f>
        <v>0</v>
      </c>
      <c r="AT7" s="4">
        <f>IF(ISBLANK(AM7),0,VLOOKUP(AM7,SpellbooksOwned!$A$1:$B$49,2,FALSE))</f>
        <v>0</v>
      </c>
      <c r="AU7" s="4">
        <f>IF(ISBLANK(AN7),0,VLOOKUP(AN7,SpellbooksOwned!$A$1:$B$49,2,FALSE))</f>
        <v>0</v>
      </c>
      <c r="AV7" s="4">
        <f t="shared" si="20"/>
        <v>166</v>
      </c>
      <c r="AW7" s="26">
        <f t="shared" si="21"/>
        <v>100</v>
      </c>
      <c r="AX7" s="29">
        <f t="shared" si="10"/>
        <v>0.9985109323648599</v>
      </c>
      <c r="AY7" s="4" t="str">
        <f t="shared" si="22"/>
        <v>Useless</v>
      </c>
      <c r="AZ7" s="4"/>
    </row>
    <row r="8" spans="1:52" ht="12.75">
      <c r="A8" s="4" t="s">
        <v>404</v>
      </c>
      <c r="B8" s="4">
        <v>4</v>
      </c>
      <c r="C8" s="4" t="s">
        <v>371</v>
      </c>
      <c r="F8" s="4">
        <f t="shared" si="0"/>
        <v>1</v>
      </c>
      <c r="G8" s="4">
        <f t="shared" si="1"/>
      </c>
      <c r="H8" s="4">
        <f t="shared" si="2"/>
      </c>
      <c r="I8" s="4">
        <f t="shared" si="11"/>
        <v>11</v>
      </c>
      <c r="J8" s="4">
        <f t="shared" si="3"/>
        <v>0</v>
      </c>
      <c r="K8" s="4">
        <f t="shared" si="4"/>
      </c>
      <c r="L8" s="4">
        <f t="shared" si="12"/>
      </c>
      <c r="M8" s="4">
        <f t="shared" si="13"/>
        <v>0</v>
      </c>
      <c r="N8" s="4">
        <f t="shared" si="14"/>
      </c>
      <c r="O8" s="4">
        <f t="shared" si="15"/>
        <v>0</v>
      </c>
      <c r="P8" s="4">
        <f t="shared" si="5"/>
      </c>
      <c r="Q8" s="4">
        <f t="shared" si="16"/>
        <v>0</v>
      </c>
      <c r="R8" s="4">
        <f t="shared" si="6"/>
      </c>
      <c r="S8" s="4">
        <f t="shared" si="17"/>
        <v>0</v>
      </c>
      <c r="T8" s="4">
        <f t="shared" si="18"/>
        <v>1</v>
      </c>
      <c r="U8" s="5">
        <f t="shared" si="7"/>
        <v>15</v>
      </c>
      <c r="V8" s="5">
        <f t="shared" si="8"/>
        <v>15</v>
      </c>
      <c r="X8" s="5">
        <f t="shared" si="19"/>
        <v>15</v>
      </c>
      <c r="Z8" s="5" t="s">
        <v>59</v>
      </c>
      <c r="AB8" s="5" t="s">
        <v>95</v>
      </c>
      <c r="AD8" s="6" t="s">
        <v>344</v>
      </c>
      <c r="AE8" s="4" t="s">
        <v>810</v>
      </c>
      <c r="AH8" s="4" t="b">
        <f t="shared" si="9"/>
        <v>1</v>
      </c>
      <c r="AI8" s="4" t="s">
        <v>371</v>
      </c>
      <c r="AJ8" s="4" t="s">
        <v>650</v>
      </c>
      <c r="AK8" s="4" t="s">
        <v>702</v>
      </c>
      <c r="AO8" s="4">
        <f>COUNTIF(SpellbooksOwned!$D$2:$K$49,$A8)</f>
        <v>3</v>
      </c>
      <c r="AP8" s="4">
        <f>IF(ISBLANK(AI8),0,VLOOKUP(AI8,SpellbooksOwned!$A$1:$B$49,2,FALSE))</f>
        <v>1</v>
      </c>
      <c r="AQ8" s="4">
        <f>IF(ISBLANK(AJ8),0,VLOOKUP(AJ8,SpellbooksOwned!$A$1:$B$49,2,FALSE))</f>
        <v>1</v>
      </c>
      <c r="AR8" s="4">
        <f>IF(ISBLANK(AK8),0,VLOOKUP(AK8,SpellbooksOwned!$A$1:$B$49,2,FALSE))</f>
        <v>1</v>
      </c>
      <c r="AS8" s="4">
        <f>IF(ISBLANK(AL8),0,VLOOKUP(AL8,SpellbooksOwned!$A$1:$B$49,2,FALSE))</f>
        <v>0</v>
      </c>
      <c r="AT8" s="4">
        <f>IF(ISBLANK(AM8),0,VLOOKUP(AM8,SpellbooksOwned!$A$1:$B$49,2,FALSE))</f>
        <v>0</v>
      </c>
      <c r="AU8" s="4">
        <f>IF(ISBLANK(AN8),0,VLOOKUP(AN8,SpellbooksOwned!$A$1:$B$49,2,FALSE))</f>
        <v>0</v>
      </c>
      <c r="AV8" s="4">
        <f t="shared" si="20"/>
        <v>36</v>
      </c>
      <c r="AW8" s="26">
        <f t="shared" si="21"/>
        <v>41</v>
      </c>
      <c r="AX8" s="29">
        <f t="shared" si="10"/>
        <v>0.28433880816463963</v>
      </c>
      <c r="AY8" s="4" t="str">
        <f t="shared" si="22"/>
        <v>Fair</v>
      </c>
      <c r="AZ8" s="4"/>
    </row>
    <row r="9" spans="1:52" ht="12.75">
      <c r="A9" s="4" t="s">
        <v>401</v>
      </c>
      <c r="B9" s="4">
        <v>1</v>
      </c>
      <c r="C9" s="4" t="s">
        <v>371</v>
      </c>
      <c r="F9" s="4">
        <f t="shared" si="0"/>
        <v>1</v>
      </c>
      <c r="G9" s="4">
        <f t="shared" si="1"/>
      </c>
      <c r="H9" s="4">
        <f t="shared" si="2"/>
      </c>
      <c r="I9" s="4">
        <f t="shared" si="11"/>
        <v>11</v>
      </c>
      <c r="J9" s="4">
        <f t="shared" si="3"/>
        <v>0</v>
      </c>
      <c r="K9" s="4">
        <f t="shared" si="4"/>
      </c>
      <c r="L9" s="4">
        <f t="shared" si="12"/>
      </c>
      <c r="M9" s="4">
        <f t="shared" si="13"/>
        <v>0</v>
      </c>
      <c r="N9" s="4">
        <f t="shared" si="14"/>
      </c>
      <c r="O9" s="4">
        <f t="shared" si="15"/>
        <v>0</v>
      </c>
      <c r="P9" s="4">
        <f t="shared" si="5"/>
      </c>
      <c r="Q9" s="4">
        <f t="shared" si="16"/>
        <v>0</v>
      </c>
      <c r="R9" s="4">
        <f t="shared" si="6"/>
      </c>
      <c r="S9" s="4">
        <f t="shared" si="17"/>
        <v>0</v>
      </c>
      <c r="T9" s="4">
        <f t="shared" si="18"/>
        <v>1</v>
      </c>
      <c r="U9" s="5">
        <f t="shared" si="7"/>
        <v>15</v>
      </c>
      <c r="V9" s="5">
        <f t="shared" si="8"/>
        <v>15</v>
      </c>
      <c r="X9" s="5">
        <f t="shared" si="19"/>
        <v>15</v>
      </c>
      <c r="Z9" s="5">
        <v>0</v>
      </c>
      <c r="AB9" s="5" t="s">
        <v>95</v>
      </c>
      <c r="AD9" s="6" t="s">
        <v>594</v>
      </c>
      <c r="AE9" s="4" t="s">
        <v>808</v>
      </c>
      <c r="AH9" s="4" t="b">
        <f t="shared" si="9"/>
        <v>1</v>
      </c>
      <c r="AI9" s="4" t="s">
        <v>371</v>
      </c>
      <c r="AJ9" s="4" t="s">
        <v>1022</v>
      </c>
      <c r="AO9" s="4">
        <f>COUNTIF(SpellbooksOwned!$D$2:$K$49,$A9)</f>
        <v>2</v>
      </c>
      <c r="AP9" s="4">
        <f>IF(ISBLANK(AI9),0,VLOOKUP(AI9,SpellbooksOwned!$A$1:$B$49,2,FALSE))</f>
        <v>1</v>
      </c>
      <c r="AQ9" s="4">
        <f>IF(ISBLANK(AJ9),0,VLOOKUP(AJ9,SpellbooksOwned!$A$1:$B$49,2,FALSE))</f>
        <v>1</v>
      </c>
      <c r="AR9" s="4">
        <f>IF(ISBLANK(AK9),0,VLOOKUP(AK9,SpellbooksOwned!$A$1:$B$49,2,FALSE))</f>
        <v>0</v>
      </c>
      <c r="AS9" s="4">
        <f>IF(ISBLANK(AL9),0,VLOOKUP(AL9,SpellbooksOwned!$A$1:$B$49,2,FALSE))</f>
        <v>0</v>
      </c>
      <c r="AT9" s="4">
        <f>IF(ISBLANK(AM9),0,VLOOKUP(AM9,SpellbooksOwned!$A$1:$B$49,2,FALSE))</f>
        <v>0</v>
      </c>
      <c r="AU9" s="4">
        <f>IF(ISBLANK(AN9),0,VLOOKUP(AN9,SpellbooksOwned!$A$1:$B$49,2,FALSE))</f>
        <v>0</v>
      </c>
      <c r="AV9" s="4">
        <f t="shared" si="20"/>
        <v>-31</v>
      </c>
      <c r="AW9" s="26">
        <f t="shared" si="21"/>
        <v>18</v>
      </c>
      <c r="AX9" s="29">
        <f t="shared" si="10"/>
        <v>0.025587989795647026</v>
      </c>
      <c r="AY9" s="4" t="str">
        <f t="shared" si="22"/>
        <v>Great</v>
      </c>
      <c r="AZ9" s="4"/>
    </row>
    <row r="10" spans="1:52" ht="12.75">
      <c r="A10" s="4" t="s">
        <v>424</v>
      </c>
      <c r="B10" s="4">
        <v>1</v>
      </c>
      <c r="C10" s="4" t="s">
        <v>391</v>
      </c>
      <c r="F10" s="4">
        <f t="shared" si="0"/>
        <v>1</v>
      </c>
      <c r="G10" s="4">
        <f t="shared" si="1"/>
      </c>
      <c r="H10" s="4">
        <f t="shared" si="2"/>
      </c>
      <c r="I10" s="4">
        <f t="shared" si="11"/>
        <v>11</v>
      </c>
      <c r="J10" s="4">
        <f t="shared" si="3"/>
        <v>0</v>
      </c>
      <c r="K10" s="4">
        <f t="shared" si="4"/>
      </c>
      <c r="L10" s="4">
        <f t="shared" si="12"/>
      </c>
      <c r="M10" s="4">
        <f t="shared" si="13"/>
        <v>0</v>
      </c>
      <c r="N10" s="4">
        <f t="shared" si="14"/>
      </c>
      <c r="O10" s="4">
        <f t="shared" si="15"/>
        <v>0</v>
      </c>
      <c r="P10" s="4">
        <f t="shared" si="5"/>
      </c>
      <c r="Q10" s="4">
        <f t="shared" si="16"/>
        <v>0</v>
      </c>
      <c r="R10" s="4">
        <f t="shared" si="6"/>
      </c>
      <c r="S10" s="4">
        <f t="shared" si="17"/>
        <v>0</v>
      </c>
      <c r="T10" s="4">
        <f t="shared" si="18"/>
        <v>1</v>
      </c>
      <c r="U10" s="5">
        <f t="shared" si="7"/>
        <v>15</v>
      </c>
      <c r="V10" s="5">
        <f t="shared" si="8"/>
        <v>15</v>
      </c>
      <c r="X10" s="5">
        <f t="shared" si="19"/>
        <v>15</v>
      </c>
      <c r="Z10" s="5" t="s">
        <v>59</v>
      </c>
      <c r="AB10" s="5">
        <v>1</v>
      </c>
      <c r="AC10" s="6">
        <f>X10*30+INT((X10*20+1)/2)</f>
        <v>600</v>
      </c>
      <c r="AD10" s="6" t="s">
        <v>326</v>
      </c>
      <c r="AE10" s="4" t="s">
        <v>762</v>
      </c>
      <c r="AH10" s="4" t="b">
        <f t="shared" si="9"/>
        <v>1</v>
      </c>
      <c r="AI10" s="4" t="s">
        <v>26</v>
      </c>
      <c r="AJ10" s="4" t="s">
        <v>1022</v>
      </c>
      <c r="AK10" s="4" t="s">
        <v>682</v>
      </c>
      <c r="AO10" s="4">
        <f>COUNTIF(SpellbooksOwned!$D$2:$K$49,$A10)</f>
        <v>3</v>
      </c>
      <c r="AP10" s="4">
        <f>IF(ISBLANK(AI10),0,VLOOKUP(AI10,SpellbooksOwned!$A$1:$B$49,2,FALSE))</f>
        <v>0</v>
      </c>
      <c r="AQ10" s="4">
        <f>IF(ISBLANK(AJ10),0,VLOOKUP(AJ10,SpellbooksOwned!$A$1:$B$49,2,FALSE))</f>
        <v>1</v>
      </c>
      <c r="AR10" s="4">
        <f>IF(ISBLANK(AK10),0,VLOOKUP(AK10,SpellbooksOwned!$A$1:$B$49,2,FALSE))</f>
        <v>1</v>
      </c>
      <c r="AS10" s="4">
        <f>IF(ISBLANK(AL10),0,VLOOKUP(AL10,SpellbooksOwned!$A$1:$B$49,2,FALSE))</f>
        <v>0</v>
      </c>
      <c r="AT10" s="4">
        <f>IF(ISBLANK(AM10),0,VLOOKUP(AM10,SpellbooksOwned!$A$1:$B$49,2,FALSE))</f>
        <v>0</v>
      </c>
      <c r="AU10" s="4">
        <f>IF(ISBLANK(AN10),0,VLOOKUP(AN10,SpellbooksOwned!$A$1:$B$49,2,FALSE))</f>
        <v>0</v>
      </c>
      <c r="AV10" s="4">
        <f t="shared" si="20"/>
        <v>-31</v>
      </c>
      <c r="AW10" s="26">
        <f t="shared" si="21"/>
        <v>18</v>
      </c>
      <c r="AX10" s="29">
        <f t="shared" si="10"/>
        <v>0.025587989795647026</v>
      </c>
      <c r="AY10" s="4" t="str">
        <f t="shared" si="22"/>
        <v>Great</v>
      </c>
      <c r="AZ10" s="4"/>
    </row>
    <row r="11" spans="1:52" ht="12.75">
      <c r="A11" s="4" t="s">
        <v>427</v>
      </c>
      <c r="B11" s="4">
        <v>5</v>
      </c>
      <c r="C11" s="4" t="s">
        <v>391</v>
      </c>
      <c r="F11" s="4">
        <f t="shared" si="0"/>
        <v>1</v>
      </c>
      <c r="G11" s="4">
        <f t="shared" si="1"/>
      </c>
      <c r="H11" s="4">
        <f t="shared" si="2"/>
      </c>
      <c r="I11" s="4">
        <f t="shared" si="11"/>
        <v>11</v>
      </c>
      <c r="J11" s="4">
        <f t="shared" si="3"/>
        <v>0</v>
      </c>
      <c r="K11" s="4">
        <f t="shared" si="4"/>
      </c>
      <c r="L11" s="4">
        <f t="shared" si="12"/>
      </c>
      <c r="M11" s="4">
        <f t="shared" si="13"/>
        <v>0</v>
      </c>
      <c r="N11" s="4">
        <f t="shared" si="14"/>
      </c>
      <c r="O11" s="4">
        <f t="shared" si="15"/>
        <v>0</v>
      </c>
      <c r="P11" s="4">
        <f t="shared" si="5"/>
      </c>
      <c r="Q11" s="4">
        <f t="shared" si="16"/>
        <v>0</v>
      </c>
      <c r="R11" s="4">
        <f t="shared" si="6"/>
      </c>
      <c r="S11" s="4">
        <f t="shared" si="17"/>
        <v>0</v>
      </c>
      <c r="T11" s="4">
        <f t="shared" si="18"/>
        <v>1</v>
      </c>
      <c r="U11" s="5">
        <f t="shared" si="7"/>
        <v>15</v>
      </c>
      <c r="V11" s="5">
        <f t="shared" si="8"/>
        <v>15</v>
      </c>
      <c r="X11" s="5">
        <f t="shared" si="19"/>
        <v>15</v>
      </c>
      <c r="Z11" s="5" t="s">
        <v>1000</v>
      </c>
      <c r="AB11" s="5">
        <v>1</v>
      </c>
      <c r="AC11" s="5">
        <f>INT(X11*1.5)</f>
        <v>22</v>
      </c>
      <c r="AD11" s="6" t="s">
        <v>346</v>
      </c>
      <c r="AE11" s="4" t="s">
        <v>836</v>
      </c>
      <c r="AF11" s="4" t="s">
        <v>994</v>
      </c>
      <c r="AH11" s="4" t="b">
        <f t="shared" si="9"/>
        <v>0</v>
      </c>
      <c r="AI11" s="4" t="s">
        <v>28</v>
      </c>
      <c r="AO11" s="4">
        <f>COUNTIF(SpellbooksOwned!$D$2:$K$49,$A11)</f>
        <v>1</v>
      </c>
      <c r="AP11" s="4">
        <f>IF(ISBLANK(AI11),0,VLOOKUP(AI11,SpellbooksOwned!$A$1:$B$49,2,FALSE))</f>
        <v>0</v>
      </c>
      <c r="AQ11" s="4">
        <f>IF(ISBLANK(AJ11),0,VLOOKUP(AJ11,SpellbooksOwned!$A$1:$B$49,2,FALSE))</f>
        <v>0</v>
      </c>
      <c r="AR11" s="4">
        <f>IF(ISBLANK(AK11),0,VLOOKUP(AK11,SpellbooksOwned!$A$1:$B$49,2,FALSE))</f>
        <v>0</v>
      </c>
      <c r="AS11" s="4">
        <f>IF(ISBLANK(AL11),0,VLOOKUP(AL11,SpellbooksOwned!$A$1:$B$49,2,FALSE))</f>
        <v>0</v>
      </c>
      <c r="AT11" s="4">
        <f>IF(ISBLANK(AM11),0,VLOOKUP(AM11,SpellbooksOwned!$A$1:$B$49,2,FALSE))</f>
        <v>0</v>
      </c>
      <c r="AU11" s="4">
        <f>IF(ISBLANK(AN11),0,VLOOKUP(AN11,SpellbooksOwned!$A$1:$B$49,2,FALSE))</f>
        <v>0</v>
      </c>
      <c r="AV11" s="4">
        <f t="shared" si="20"/>
        <v>66</v>
      </c>
      <c r="AW11" s="26">
        <f t="shared" si="21"/>
        <v>66</v>
      </c>
      <c r="AX11" s="29">
        <f t="shared" si="10"/>
        <v>0.8238144797733274</v>
      </c>
      <c r="AY11" s="4" t="str">
        <f t="shared" si="22"/>
        <v>Very Poor</v>
      </c>
      <c r="AZ11" s="4"/>
    </row>
    <row r="12" spans="1:52" ht="12.75">
      <c r="A12" s="4" t="s">
        <v>388</v>
      </c>
      <c r="B12" s="4">
        <v>3</v>
      </c>
      <c r="C12" s="4" t="s">
        <v>359</v>
      </c>
      <c r="F12" s="4">
        <f t="shared" si="0"/>
        <v>1</v>
      </c>
      <c r="G12" s="4">
        <f t="shared" si="1"/>
      </c>
      <c r="H12" s="4">
        <f t="shared" si="2"/>
      </c>
      <c r="I12" s="4">
        <f t="shared" si="11"/>
        <v>11</v>
      </c>
      <c r="J12" s="4">
        <f t="shared" si="3"/>
        <v>0</v>
      </c>
      <c r="K12" s="4">
        <f t="shared" si="4"/>
      </c>
      <c r="L12" s="4">
        <f t="shared" si="12"/>
      </c>
      <c r="M12" s="4">
        <f t="shared" si="13"/>
        <v>0</v>
      </c>
      <c r="N12" s="4">
        <f t="shared" si="14"/>
      </c>
      <c r="O12" s="4">
        <f t="shared" si="15"/>
        <v>0</v>
      </c>
      <c r="P12" s="4">
        <f t="shared" si="5"/>
      </c>
      <c r="Q12" s="4">
        <f t="shared" si="16"/>
        <v>0</v>
      </c>
      <c r="R12" s="4">
        <f t="shared" si="6"/>
      </c>
      <c r="S12" s="4">
        <f t="shared" si="17"/>
        <v>0</v>
      </c>
      <c r="T12" s="4">
        <f t="shared" si="18"/>
        <v>1</v>
      </c>
      <c r="U12" s="5">
        <f t="shared" si="7"/>
        <v>15</v>
      </c>
      <c r="V12" s="5">
        <f t="shared" si="8"/>
        <v>15</v>
      </c>
      <c r="X12" s="5">
        <f t="shared" si="19"/>
        <v>15</v>
      </c>
      <c r="Z12" s="5" t="s">
        <v>64</v>
      </c>
      <c r="AB12" s="5">
        <f>20+19/2</f>
        <v>29.5</v>
      </c>
      <c r="AD12" s="6" t="s">
        <v>336</v>
      </c>
      <c r="AE12" s="4" t="s">
        <v>799</v>
      </c>
      <c r="AH12" s="4" t="b">
        <f t="shared" si="9"/>
        <v>0</v>
      </c>
      <c r="AI12" s="4" t="s">
        <v>616</v>
      </c>
      <c r="AO12" s="4">
        <f>COUNTIF(SpellbooksOwned!$D$2:$K$49,$A12)</f>
        <v>1</v>
      </c>
      <c r="AP12" s="4">
        <f>IF(ISBLANK(AI12),0,VLOOKUP(AI12,SpellbooksOwned!$A$1:$B$49,2,FALSE))</f>
        <v>0</v>
      </c>
      <c r="AQ12" s="4">
        <f>IF(ISBLANK(AJ12),0,VLOOKUP(AJ12,SpellbooksOwned!$A$1:$B$49,2,FALSE))</f>
        <v>0</v>
      </c>
      <c r="AR12" s="4">
        <f>IF(ISBLANK(AK12),0,VLOOKUP(AK12,SpellbooksOwned!$A$1:$B$49,2,FALSE))</f>
        <v>0</v>
      </c>
      <c r="AS12" s="4">
        <f>IF(ISBLANK(AL12),0,VLOOKUP(AL12,SpellbooksOwned!$A$1:$B$49,2,FALSE))</f>
        <v>0</v>
      </c>
      <c r="AT12" s="4">
        <f>IF(ISBLANK(AM12),0,VLOOKUP(AM12,SpellbooksOwned!$A$1:$B$49,2,FALSE))</f>
        <v>0</v>
      </c>
      <c r="AU12" s="4">
        <f>IF(ISBLANK(AN12),0,VLOOKUP(AN12,SpellbooksOwned!$A$1:$B$49,2,FALSE))</f>
        <v>0</v>
      </c>
      <c r="AV12" s="4">
        <f t="shared" si="20"/>
        <v>1</v>
      </c>
      <c r="AW12" s="26">
        <f t="shared" si="21"/>
        <v>28</v>
      </c>
      <c r="AX12" s="29">
        <f t="shared" si="10"/>
        <v>0.08850805170850018</v>
      </c>
      <c r="AY12" s="4" t="str">
        <f t="shared" si="22"/>
        <v>Very Good</v>
      </c>
      <c r="AZ12" s="4"/>
    </row>
    <row r="13" spans="1:52" ht="12.75">
      <c r="A13" s="4" t="s">
        <v>421</v>
      </c>
      <c r="B13" s="4">
        <v>5</v>
      </c>
      <c r="C13" s="4" t="s">
        <v>383</v>
      </c>
      <c r="F13" s="4">
        <f t="shared" si="0"/>
        <v>1</v>
      </c>
      <c r="G13" s="4">
        <f t="shared" si="1"/>
      </c>
      <c r="H13" s="4">
        <f t="shared" si="2"/>
      </c>
      <c r="I13" s="4">
        <f t="shared" si="11"/>
        <v>11</v>
      </c>
      <c r="J13" s="4">
        <f t="shared" si="3"/>
        <v>0</v>
      </c>
      <c r="K13" s="4">
        <f t="shared" si="4"/>
      </c>
      <c r="L13" s="4">
        <f t="shared" si="12"/>
      </c>
      <c r="M13" s="4">
        <f t="shared" si="13"/>
        <v>0</v>
      </c>
      <c r="N13" s="4">
        <f t="shared" si="14"/>
      </c>
      <c r="O13" s="4">
        <f t="shared" si="15"/>
        <v>0</v>
      </c>
      <c r="P13" s="4">
        <f t="shared" si="5"/>
      </c>
      <c r="Q13" s="4">
        <f t="shared" si="16"/>
        <v>0</v>
      </c>
      <c r="R13" s="4">
        <f t="shared" si="6"/>
      </c>
      <c r="S13" s="4">
        <f t="shared" si="17"/>
        <v>0</v>
      </c>
      <c r="T13" s="4">
        <f t="shared" si="18"/>
        <v>1</v>
      </c>
      <c r="U13" s="5">
        <f t="shared" si="7"/>
        <v>15</v>
      </c>
      <c r="V13" s="5">
        <f t="shared" si="8"/>
        <v>15</v>
      </c>
      <c r="X13" s="5">
        <f t="shared" si="19"/>
        <v>15</v>
      </c>
      <c r="Z13" s="5" t="s">
        <v>64</v>
      </c>
      <c r="AB13" s="34">
        <f>MIN(100,10+(X13+1)/2)-1</f>
        <v>17</v>
      </c>
      <c r="AC13" s="34"/>
      <c r="AD13" s="6" t="s">
        <v>337</v>
      </c>
      <c r="AE13" s="4" t="s">
        <v>791</v>
      </c>
      <c r="AH13" s="4" t="b">
        <f t="shared" si="9"/>
        <v>1</v>
      </c>
      <c r="AI13" s="4" t="s">
        <v>611</v>
      </c>
      <c r="AO13" s="4">
        <f>COUNTIF(SpellbooksOwned!$D$2:$K$49,$A13)</f>
        <v>1</v>
      </c>
      <c r="AP13" s="4">
        <f>IF(ISBLANK(AI13),0,VLOOKUP(AI13,SpellbooksOwned!$A$1:$B$49,2,FALSE))</f>
        <v>1</v>
      </c>
      <c r="AQ13" s="4">
        <f>IF(ISBLANK(AJ13),0,VLOOKUP(AJ13,SpellbooksOwned!$A$1:$B$49,2,FALSE))</f>
        <v>0</v>
      </c>
      <c r="AR13" s="4">
        <f>IF(ISBLANK(AK13),0,VLOOKUP(AK13,SpellbooksOwned!$A$1:$B$49,2,FALSE))</f>
        <v>0</v>
      </c>
      <c r="AS13" s="4">
        <f>IF(ISBLANK(AL13),0,VLOOKUP(AL13,SpellbooksOwned!$A$1:$B$49,2,FALSE))</f>
        <v>0</v>
      </c>
      <c r="AT13" s="4">
        <f>IF(ISBLANK(AM13),0,VLOOKUP(AM13,SpellbooksOwned!$A$1:$B$49,2,FALSE))</f>
        <v>0</v>
      </c>
      <c r="AU13" s="4">
        <f>IF(ISBLANK(AN13),0,VLOOKUP(AN13,SpellbooksOwned!$A$1:$B$49,2,FALSE))</f>
        <v>0</v>
      </c>
      <c r="AV13" s="4">
        <f t="shared" si="20"/>
        <v>66</v>
      </c>
      <c r="AW13" s="26">
        <f t="shared" si="21"/>
        <v>66</v>
      </c>
      <c r="AX13" s="29">
        <f t="shared" si="10"/>
        <v>0.8238144797733274</v>
      </c>
      <c r="AY13" s="4" t="str">
        <f t="shared" si="22"/>
        <v>Very Poor</v>
      </c>
      <c r="AZ13" s="4"/>
    </row>
    <row r="14" spans="1:52" ht="12.75">
      <c r="A14" s="4" t="s">
        <v>425</v>
      </c>
      <c r="B14" s="4">
        <v>2</v>
      </c>
      <c r="C14" s="4" t="s">
        <v>391</v>
      </c>
      <c r="F14" s="4">
        <f t="shared" si="0"/>
        <v>1</v>
      </c>
      <c r="G14" s="4">
        <f t="shared" si="1"/>
      </c>
      <c r="H14" s="4">
        <f t="shared" si="2"/>
      </c>
      <c r="I14" s="4">
        <f t="shared" si="11"/>
        <v>11</v>
      </c>
      <c r="J14" s="4">
        <f t="shared" si="3"/>
        <v>0</v>
      </c>
      <c r="K14" s="4">
        <f t="shared" si="4"/>
      </c>
      <c r="L14" s="4">
        <f t="shared" si="12"/>
      </c>
      <c r="M14" s="4">
        <f t="shared" si="13"/>
        <v>0</v>
      </c>
      <c r="N14" s="4">
        <f t="shared" si="14"/>
      </c>
      <c r="O14" s="4">
        <f t="shared" si="15"/>
        <v>0</v>
      </c>
      <c r="P14" s="4">
        <f t="shared" si="5"/>
      </c>
      <c r="Q14" s="4">
        <f t="shared" si="16"/>
        <v>0</v>
      </c>
      <c r="R14" s="4">
        <f t="shared" si="6"/>
      </c>
      <c r="S14" s="4">
        <f t="shared" si="17"/>
        <v>0</v>
      </c>
      <c r="T14" s="4">
        <f t="shared" si="18"/>
        <v>1</v>
      </c>
      <c r="U14" s="5">
        <f t="shared" si="7"/>
        <v>15</v>
      </c>
      <c r="V14" s="5">
        <f t="shared" si="8"/>
        <v>15</v>
      </c>
      <c r="W14" s="5">
        <v>100</v>
      </c>
      <c r="X14" s="5">
        <f t="shared" si="19"/>
        <v>15</v>
      </c>
      <c r="Z14" s="5" t="s">
        <v>59</v>
      </c>
      <c r="AB14" s="5">
        <v>1</v>
      </c>
      <c r="AD14" s="6" t="s">
        <v>60</v>
      </c>
      <c r="AE14" s="4" t="s">
        <v>707</v>
      </c>
      <c r="AH14" s="4" t="b">
        <f t="shared" si="9"/>
        <v>1</v>
      </c>
      <c r="AI14" s="4" t="s">
        <v>1028</v>
      </c>
      <c r="AJ14" s="4" t="s">
        <v>25</v>
      </c>
      <c r="AK14" s="4" t="s">
        <v>682</v>
      </c>
      <c r="AO14" s="4">
        <f>COUNTIF(SpellbooksOwned!$D$2:$K$49,$A14)</f>
        <v>6</v>
      </c>
      <c r="AP14" s="4">
        <f>IF(ISBLANK(AI14),0,VLOOKUP(AI14,SpellbooksOwned!$A$1:$B$49,2,FALSE))</f>
        <v>1</v>
      </c>
      <c r="AQ14" s="4">
        <f>IF(ISBLANK(AJ14),0,VLOOKUP(AJ14,SpellbooksOwned!$A$1:$B$49,2,FALSE))</f>
        <v>0</v>
      </c>
      <c r="AR14" s="4">
        <f>IF(ISBLANK(AK14),0,VLOOKUP(AK14,SpellbooksOwned!$A$1:$B$49,2,FALSE))</f>
        <v>1</v>
      </c>
      <c r="AS14" s="4">
        <f>IF(ISBLANK(AL14),0,VLOOKUP(AL14,SpellbooksOwned!$A$1:$B$49,2,FALSE))</f>
        <v>0</v>
      </c>
      <c r="AT14" s="4">
        <f>IF(ISBLANK(AM14),0,VLOOKUP(AM14,SpellbooksOwned!$A$1:$B$49,2,FALSE))</f>
        <v>0</v>
      </c>
      <c r="AU14" s="4">
        <f>IF(ISBLANK(AN14),0,VLOOKUP(AN14,SpellbooksOwned!$A$1:$B$49,2,FALSE))</f>
        <v>0</v>
      </c>
      <c r="AV14" s="4">
        <f t="shared" si="20"/>
        <v>-19</v>
      </c>
      <c r="AW14" s="26">
        <f t="shared" si="21"/>
        <v>22</v>
      </c>
      <c r="AX14" s="29">
        <f t="shared" si="10"/>
        <v>0.043632902942498775</v>
      </c>
      <c r="AY14" s="4" t="str">
        <f t="shared" si="22"/>
        <v>Very Good</v>
      </c>
      <c r="AZ14" s="4"/>
    </row>
    <row r="15" spans="1:52" ht="12.75">
      <c r="A15" s="4" t="s">
        <v>366</v>
      </c>
      <c r="B15" s="4">
        <v>5</v>
      </c>
      <c r="C15" s="4" t="s">
        <v>361</v>
      </c>
      <c r="D15" s="4" t="s">
        <v>367</v>
      </c>
      <c r="F15" s="4">
        <f t="shared" si="0"/>
        <v>1</v>
      </c>
      <c r="G15" s="4">
        <f t="shared" si="1"/>
        <v>1</v>
      </c>
      <c r="H15" s="4">
        <f t="shared" si="2"/>
      </c>
      <c r="I15" s="4">
        <f t="shared" si="11"/>
        <v>11</v>
      </c>
      <c r="J15" s="4">
        <f t="shared" si="3"/>
        <v>0</v>
      </c>
      <c r="K15" s="4">
        <f t="shared" si="4"/>
        <v>0</v>
      </c>
      <c r="L15" s="4">
        <f t="shared" si="12"/>
      </c>
      <c r="M15" s="4">
        <f t="shared" si="13"/>
        <v>0</v>
      </c>
      <c r="N15" s="4">
        <f t="shared" si="14"/>
      </c>
      <c r="O15" s="4" t="str">
        <f t="shared" si="15"/>
        <v>Fire</v>
      </c>
      <c r="P15" s="4">
        <f t="shared" si="5"/>
        <v>0</v>
      </c>
      <c r="Q15" s="4">
        <f t="shared" si="16"/>
        <v>0</v>
      </c>
      <c r="R15" s="4">
        <f t="shared" si="6"/>
      </c>
      <c r="S15" s="4">
        <f t="shared" si="17"/>
        <v>0</v>
      </c>
      <c r="T15" s="4">
        <f t="shared" si="18"/>
        <v>1</v>
      </c>
      <c r="U15" s="5">
        <f t="shared" si="7"/>
        <v>15</v>
      </c>
      <c r="V15" s="5">
        <f t="shared" si="8"/>
        <v>15</v>
      </c>
      <c r="W15" s="5">
        <v>200</v>
      </c>
      <c r="X15" s="5">
        <f t="shared" si="19"/>
        <v>15</v>
      </c>
      <c r="Y15" s="6">
        <f>(6*INT((20+INT(3*X15/4))/6)+1)/2</f>
        <v>15.5</v>
      </c>
      <c r="Z15" s="5" t="s">
        <v>939</v>
      </c>
      <c r="AA15" s="5">
        <f>10+INT(X15/25)</f>
        <v>10</v>
      </c>
      <c r="AB15" s="5">
        <v>1</v>
      </c>
      <c r="AD15" s="6" t="s">
        <v>1007</v>
      </c>
      <c r="AE15" s="4" t="s">
        <v>720</v>
      </c>
      <c r="AF15" s="4" t="s">
        <v>967</v>
      </c>
      <c r="AH15" s="4" t="b">
        <f t="shared" si="9"/>
        <v>1</v>
      </c>
      <c r="AI15" s="4" t="s">
        <v>1013</v>
      </c>
      <c r="AJ15" s="4" t="s">
        <v>367</v>
      </c>
      <c r="AO15" s="4">
        <f>COUNTIF(SpellbooksOwned!$D$2:$K$49,$A15)</f>
        <v>2</v>
      </c>
      <c r="AP15" s="4">
        <f>IF(ISBLANK(AI15),0,VLOOKUP(AI15,SpellbooksOwned!$A$1:$B$49,2,FALSE))</f>
        <v>1</v>
      </c>
      <c r="AQ15" s="4">
        <f>IF(ISBLANK(AJ15),0,VLOOKUP(AJ15,SpellbooksOwned!$A$1:$B$49,2,FALSE))</f>
        <v>1</v>
      </c>
      <c r="AR15" s="4">
        <f>IF(ISBLANK(AK15),0,VLOOKUP(AK15,SpellbooksOwned!$A$1:$B$49,2,FALSE))</f>
        <v>0</v>
      </c>
      <c r="AS15" s="4">
        <f>IF(ISBLANK(AL15),0,VLOOKUP(AL15,SpellbooksOwned!$A$1:$B$49,2,FALSE))</f>
        <v>0</v>
      </c>
      <c r="AT15" s="4">
        <f>IF(ISBLANK(AM15),0,VLOOKUP(AM15,SpellbooksOwned!$A$1:$B$49,2,FALSE))</f>
        <v>0</v>
      </c>
      <c r="AU15" s="4">
        <f>IF(ISBLANK(AN15),0,VLOOKUP(AN15,SpellbooksOwned!$A$1:$B$49,2,FALSE))</f>
        <v>0</v>
      </c>
      <c r="AV15" s="4">
        <f t="shared" si="20"/>
        <v>66</v>
      </c>
      <c r="AW15" s="26">
        <f t="shared" si="21"/>
        <v>66</v>
      </c>
      <c r="AX15" s="29">
        <f t="shared" si="10"/>
        <v>0.8238144797733274</v>
      </c>
      <c r="AY15" s="4" t="str">
        <f t="shared" si="22"/>
        <v>Very Poor</v>
      </c>
      <c r="AZ15" s="4"/>
    </row>
    <row r="16" spans="1:52" ht="12.75">
      <c r="A16" s="4" t="s">
        <v>370</v>
      </c>
      <c r="B16" s="4">
        <v>6</v>
      </c>
      <c r="C16" s="4" t="s">
        <v>361</v>
      </c>
      <c r="D16" s="4" t="s">
        <v>371</v>
      </c>
      <c r="F16" s="4">
        <f t="shared" si="0"/>
        <v>1</v>
      </c>
      <c r="G16" s="4">
        <f t="shared" si="1"/>
        <v>1</v>
      </c>
      <c r="H16" s="4">
        <f t="shared" si="2"/>
      </c>
      <c r="I16" s="4">
        <f t="shared" si="11"/>
        <v>11</v>
      </c>
      <c r="J16" s="4">
        <f t="shared" si="3"/>
        <v>0</v>
      </c>
      <c r="K16" s="4">
        <f t="shared" si="4"/>
        <v>0</v>
      </c>
      <c r="L16" s="4">
        <f t="shared" si="12"/>
      </c>
      <c r="M16" s="4">
        <f t="shared" si="13"/>
        <v>0</v>
      </c>
      <c r="N16" s="4">
        <f t="shared" si="14"/>
      </c>
      <c r="O16" s="4">
        <f t="shared" si="15"/>
        <v>0</v>
      </c>
      <c r="P16" s="4">
        <f t="shared" si="5"/>
      </c>
      <c r="Q16" s="4">
        <f t="shared" si="16"/>
        <v>0</v>
      </c>
      <c r="R16" s="4">
        <f t="shared" si="6"/>
      </c>
      <c r="S16" s="4">
        <f t="shared" si="17"/>
        <v>0</v>
      </c>
      <c r="T16" s="4">
        <f t="shared" si="18"/>
        <v>1</v>
      </c>
      <c r="U16" s="5">
        <f t="shared" si="7"/>
        <v>15</v>
      </c>
      <c r="V16" s="5">
        <f t="shared" si="8"/>
        <v>15</v>
      </c>
      <c r="W16" s="5">
        <v>200</v>
      </c>
      <c r="X16" s="5">
        <f t="shared" si="19"/>
        <v>15</v>
      </c>
      <c r="Y16" s="6">
        <f>(4*INT((15+INT(3*X16/5))/4)+1)/2</f>
        <v>12.5</v>
      </c>
      <c r="Z16" s="5" t="s">
        <v>939</v>
      </c>
      <c r="AA16" s="5">
        <f>8+INT(X16/20)</f>
        <v>8</v>
      </c>
      <c r="AB16" s="5">
        <v>1</v>
      </c>
      <c r="AD16" s="6" t="s">
        <v>1004</v>
      </c>
      <c r="AE16" s="4" t="s">
        <v>783</v>
      </c>
      <c r="AF16" s="4" t="s">
        <v>946</v>
      </c>
      <c r="AH16" s="4" t="b">
        <f t="shared" si="9"/>
        <v>0</v>
      </c>
      <c r="AI16" s="4" t="s">
        <v>609</v>
      </c>
      <c r="AO16" s="4">
        <f>COUNTIF(SpellbooksOwned!$D$2:$K$49,$A16)</f>
        <v>1</v>
      </c>
      <c r="AP16" s="4">
        <f>IF(ISBLANK(AI16),0,VLOOKUP(AI16,SpellbooksOwned!$A$1:$B$49,2,FALSE))</f>
        <v>0</v>
      </c>
      <c r="AQ16" s="4">
        <f>IF(ISBLANK(AJ16),0,VLOOKUP(AJ16,SpellbooksOwned!$A$1:$B$49,2,FALSE))</f>
        <v>0</v>
      </c>
      <c r="AR16" s="4">
        <f>IF(ISBLANK(AK16),0,VLOOKUP(AK16,SpellbooksOwned!$A$1:$B$49,2,FALSE))</f>
        <v>0</v>
      </c>
      <c r="AS16" s="4">
        <f>IF(ISBLANK(AL16),0,VLOOKUP(AL16,SpellbooksOwned!$A$1:$B$49,2,FALSE))</f>
        <v>0</v>
      </c>
      <c r="AT16" s="4">
        <f>IF(ISBLANK(AM16),0,VLOOKUP(AM16,SpellbooksOwned!$A$1:$B$49,2,FALSE))</f>
        <v>0</v>
      </c>
      <c r="AU16" s="4">
        <f>IF(ISBLANK(AN16),0,VLOOKUP(AN16,SpellbooksOwned!$A$1:$B$49,2,FALSE))</f>
        <v>0</v>
      </c>
      <c r="AV16" s="4">
        <f t="shared" si="20"/>
        <v>116</v>
      </c>
      <c r="AW16" s="26">
        <f t="shared" si="21"/>
        <v>100</v>
      </c>
      <c r="AX16" s="29">
        <f t="shared" si="10"/>
        <v>0.9985109323648599</v>
      </c>
      <c r="AY16" s="4" t="str">
        <f t="shared" si="22"/>
        <v>Useless</v>
      </c>
      <c r="AZ16" s="4"/>
    </row>
    <row r="17" spans="1:52" ht="12.75">
      <c r="A17" s="4" t="s">
        <v>368</v>
      </c>
      <c r="B17" s="4">
        <v>5</v>
      </c>
      <c r="C17" s="4" t="s">
        <v>361</v>
      </c>
      <c r="D17" s="4" t="s">
        <v>364</v>
      </c>
      <c r="F17" s="4">
        <f t="shared" si="0"/>
        <v>1</v>
      </c>
      <c r="G17" s="4">
        <f t="shared" si="1"/>
        <v>1</v>
      </c>
      <c r="H17" s="4">
        <f t="shared" si="2"/>
      </c>
      <c r="I17" s="4">
        <f>INT(Spellcasting/2)+INT(2*AVERAGE(F17:H17))+3*RingOfWizardry+4*StaffOfWizardry+2*RobeOfTheArchmagi</f>
        <v>11</v>
      </c>
      <c r="J17" s="4">
        <f t="shared" si="3"/>
        <v>0</v>
      </c>
      <c r="K17" s="4">
        <f t="shared" si="4"/>
        <v>0</v>
      </c>
      <c r="L17" s="4">
        <f t="shared" si="12"/>
      </c>
      <c r="M17" s="4">
        <f t="shared" si="13"/>
        <v>0</v>
      </c>
      <c r="N17" s="4">
        <f t="shared" si="14"/>
      </c>
      <c r="O17" s="4" t="str">
        <f t="shared" si="15"/>
        <v>Ice</v>
      </c>
      <c r="P17" s="4">
        <f t="shared" si="5"/>
        <v>0</v>
      </c>
      <c r="Q17" s="4">
        <f t="shared" si="16"/>
        <v>0</v>
      </c>
      <c r="R17" s="4">
        <f t="shared" si="6"/>
      </c>
      <c r="S17" s="4">
        <f t="shared" si="17"/>
        <v>0</v>
      </c>
      <c r="T17" s="4">
        <f t="shared" si="18"/>
        <v>1</v>
      </c>
      <c r="U17" s="5">
        <f t="shared" si="7"/>
        <v>15</v>
      </c>
      <c r="V17" s="5">
        <f t="shared" si="8"/>
        <v>15</v>
      </c>
      <c r="W17" s="5">
        <v>200</v>
      </c>
      <c r="X17" s="5">
        <f>MIN(V17:W17)</f>
        <v>15</v>
      </c>
      <c r="Y17" s="6">
        <f>(6*INT((20+INT(3*X17/4))/6)+1)/2</f>
        <v>15.5</v>
      </c>
      <c r="Z17" s="5" t="s">
        <v>939</v>
      </c>
      <c r="AA17" s="5">
        <f>10+INT(X17/25)</f>
        <v>10</v>
      </c>
      <c r="AB17" s="5">
        <v>1</v>
      </c>
      <c r="AD17" s="6" t="s">
        <v>1007</v>
      </c>
      <c r="AE17" s="4" t="s">
        <v>861</v>
      </c>
      <c r="AF17" s="4" t="s">
        <v>966</v>
      </c>
      <c r="AH17" s="4" t="b">
        <f t="shared" si="9"/>
        <v>0</v>
      </c>
      <c r="AI17" s="4" t="s">
        <v>583</v>
      </c>
      <c r="AO17" s="4">
        <f>COUNTIF(SpellbooksOwned!$D$2:$K$49,$A17)</f>
        <v>1</v>
      </c>
      <c r="AP17" s="4">
        <f>IF(ISBLANK(AI17),0,VLOOKUP(AI17,SpellbooksOwned!$A$1:$B$49,2,FALSE))</f>
        <v>0</v>
      </c>
      <c r="AQ17" s="4">
        <f>IF(ISBLANK(AJ17),0,VLOOKUP(AJ17,SpellbooksOwned!$A$1:$B$49,2,FALSE))</f>
        <v>0</v>
      </c>
      <c r="AR17" s="4">
        <f>IF(ISBLANK(AK17),0,VLOOKUP(AK17,SpellbooksOwned!$A$1:$B$49,2,FALSE))</f>
        <v>0</v>
      </c>
      <c r="AS17" s="4">
        <f>IF(ISBLANK(AL17),0,VLOOKUP(AL17,SpellbooksOwned!$A$1:$B$49,2,FALSE))</f>
        <v>0</v>
      </c>
      <c r="AT17" s="4">
        <f>IF(ISBLANK(AM17),0,VLOOKUP(AM17,SpellbooksOwned!$A$1:$B$49,2,FALSE))</f>
        <v>0</v>
      </c>
      <c r="AU17" s="4">
        <f>IF(ISBLANK(AN17),0,VLOOKUP(AN17,SpellbooksOwned!$A$1:$B$49,2,FALSE))</f>
        <v>0</v>
      </c>
      <c r="AV17" s="4">
        <f t="shared" si="20"/>
        <v>66</v>
      </c>
      <c r="AW17" s="26">
        <f t="shared" si="21"/>
        <v>66</v>
      </c>
      <c r="AX17" s="29">
        <f t="shared" si="10"/>
        <v>0.8238144797733274</v>
      </c>
      <c r="AY17" s="4" t="str">
        <f t="shared" si="22"/>
        <v>Very Poor</v>
      </c>
      <c r="AZ17" s="4"/>
    </row>
    <row r="18" spans="1:52" ht="12.75">
      <c r="A18" s="4" t="s">
        <v>372</v>
      </c>
      <c r="B18" s="4">
        <v>6</v>
      </c>
      <c r="C18" s="4" t="s">
        <v>361</v>
      </c>
      <c r="D18" s="4" t="s">
        <v>373</v>
      </c>
      <c r="F18" s="4">
        <f t="shared" si="0"/>
        <v>1</v>
      </c>
      <c r="G18" s="4">
        <f t="shared" si="1"/>
        <v>1</v>
      </c>
      <c r="H18" s="4">
        <f t="shared" si="2"/>
      </c>
      <c r="I18" s="4">
        <f aca="true" t="shared" si="23" ref="I18:I25">INT(Spellcasting/2)+INT(2*AVERAGE(F18:H18))+3*RingOfWizardry+4*StaffOfWizardry+2*RobeOfTheArchmagi</f>
        <v>11</v>
      </c>
      <c r="J18" s="4">
        <f t="shared" si="3"/>
        <v>0</v>
      </c>
      <c r="K18" s="4">
        <f t="shared" si="4"/>
        <v>0</v>
      </c>
      <c r="L18" s="4">
        <f t="shared" si="12"/>
      </c>
      <c r="M18" s="4">
        <f t="shared" si="13"/>
        <v>0</v>
      </c>
      <c r="N18" s="4">
        <f t="shared" si="14"/>
      </c>
      <c r="O18" s="4" t="str">
        <f t="shared" si="15"/>
        <v>Air</v>
      </c>
      <c r="P18" s="4">
        <f t="shared" si="5"/>
        <v>0</v>
      </c>
      <c r="Q18" s="4">
        <f t="shared" si="16"/>
        <v>0</v>
      </c>
      <c r="R18" s="4">
        <f t="shared" si="6"/>
      </c>
      <c r="S18" s="4">
        <f t="shared" si="17"/>
        <v>0</v>
      </c>
      <c r="T18" s="4">
        <f t="shared" si="18"/>
        <v>1</v>
      </c>
      <c r="U18" s="5">
        <f t="shared" si="7"/>
        <v>15</v>
      </c>
      <c r="V18" s="5">
        <f t="shared" si="8"/>
        <v>15</v>
      </c>
      <c r="W18" s="5">
        <v>200</v>
      </c>
      <c r="X18" s="5">
        <f aca="true" t="shared" si="24" ref="X18:X25">MIN(V18:W18)</f>
        <v>15</v>
      </c>
      <c r="Y18" s="6">
        <f>(9*INT((15+INT(3*X18/4))/9)+1)/2</f>
        <v>9.5</v>
      </c>
      <c r="Z18" s="5" t="s">
        <v>968</v>
      </c>
      <c r="AA18" s="5">
        <f>7+INT(X18/15)</f>
        <v>8</v>
      </c>
      <c r="AB18" s="5">
        <v>1</v>
      </c>
      <c r="AD18" s="6" t="s">
        <v>928</v>
      </c>
      <c r="AE18" s="4" t="s">
        <v>863</v>
      </c>
      <c r="AF18" s="4" t="s">
        <v>973</v>
      </c>
      <c r="AH18" s="4" t="b">
        <f t="shared" si="9"/>
        <v>1</v>
      </c>
      <c r="AI18" s="4" t="s">
        <v>702</v>
      </c>
      <c r="AJ18" s="4" t="s">
        <v>37</v>
      </c>
      <c r="AO18" s="4">
        <f>COUNTIF(SpellbooksOwned!$D$2:$K$49,$A18)</f>
        <v>2</v>
      </c>
      <c r="AP18" s="4">
        <f>IF(ISBLANK(AI18),0,VLOOKUP(AI18,SpellbooksOwned!$A$1:$B$49,2,FALSE))</f>
        <v>1</v>
      </c>
      <c r="AQ18" s="4">
        <f>IF(ISBLANK(AJ18),0,VLOOKUP(AJ18,SpellbooksOwned!$A$1:$B$49,2,FALSE))</f>
        <v>1</v>
      </c>
      <c r="AR18" s="4">
        <f>IF(ISBLANK(AK18),0,VLOOKUP(AK18,SpellbooksOwned!$A$1:$B$49,2,FALSE))</f>
        <v>0</v>
      </c>
      <c r="AS18" s="4">
        <f>IF(ISBLANK(AL18),0,VLOOKUP(AL18,SpellbooksOwned!$A$1:$B$49,2,FALSE))</f>
        <v>0</v>
      </c>
      <c r="AT18" s="4">
        <f>IF(ISBLANK(AM18),0,VLOOKUP(AM18,SpellbooksOwned!$A$1:$B$49,2,FALSE))</f>
        <v>0</v>
      </c>
      <c r="AU18" s="4">
        <f>IF(ISBLANK(AN18),0,VLOOKUP(AN18,SpellbooksOwned!$A$1:$B$49,2,FALSE))</f>
        <v>0</v>
      </c>
      <c r="AV18" s="4">
        <f t="shared" si="20"/>
        <v>116</v>
      </c>
      <c r="AW18" s="26">
        <f t="shared" si="21"/>
        <v>100</v>
      </c>
      <c r="AX18" s="29">
        <f t="shared" si="10"/>
        <v>0.9985109323648599</v>
      </c>
      <c r="AY18" s="4" t="str">
        <f t="shared" si="22"/>
        <v>Useless</v>
      </c>
      <c r="AZ18" s="4"/>
    </row>
    <row r="19" spans="1:52" ht="12.75">
      <c r="A19" s="4" t="s">
        <v>369</v>
      </c>
      <c r="B19" s="4">
        <v>5</v>
      </c>
      <c r="C19" s="4" t="s">
        <v>361</v>
      </c>
      <c r="D19" s="4" t="s">
        <v>373</v>
      </c>
      <c r="E19" s="4" t="s">
        <v>364</v>
      </c>
      <c r="F19" s="4">
        <f t="shared" si="0"/>
        <v>1</v>
      </c>
      <c r="G19" s="4">
        <f t="shared" si="1"/>
        <v>1</v>
      </c>
      <c r="H19" s="4">
        <f t="shared" si="2"/>
        <v>1</v>
      </c>
      <c r="I19" s="4">
        <f t="shared" si="23"/>
        <v>11</v>
      </c>
      <c r="J19" s="4">
        <f t="shared" si="3"/>
        <v>0</v>
      </c>
      <c r="K19" s="4">
        <f t="shared" si="4"/>
        <v>0</v>
      </c>
      <c r="L19" s="4">
        <f t="shared" si="12"/>
        <v>0</v>
      </c>
      <c r="M19" s="4">
        <f t="shared" si="13"/>
        <v>0</v>
      </c>
      <c r="N19" s="4">
        <f t="shared" si="14"/>
      </c>
      <c r="O19" s="4" t="str">
        <f t="shared" si="15"/>
        <v>Air</v>
      </c>
      <c r="P19" s="4">
        <f t="shared" si="5"/>
        <v>0</v>
      </c>
      <c r="Q19" s="4" t="str">
        <f t="shared" si="16"/>
        <v>Ice</v>
      </c>
      <c r="R19" s="4">
        <f t="shared" si="6"/>
        <v>0</v>
      </c>
      <c r="S19" s="4">
        <f t="shared" si="17"/>
        <v>0</v>
      </c>
      <c r="T19" s="4">
        <f t="shared" si="18"/>
        <v>1</v>
      </c>
      <c r="U19" s="5">
        <f t="shared" si="7"/>
        <v>15</v>
      </c>
      <c r="V19" s="5">
        <f t="shared" si="8"/>
        <v>15</v>
      </c>
      <c r="W19" s="5">
        <v>200</v>
      </c>
      <c r="X19" s="5">
        <f t="shared" si="24"/>
        <v>15</v>
      </c>
      <c r="Y19" s="6">
        <f>(4*INT((10+INT(3*X19/5))/4)+1)/2</f>
        <v>8.5</v>
      </c>
      <c r="Z19" s="5" t="s">
        <v>942</v>
      </c>
      <c r="AA19" s="5">
        <f>8+INT(X19/25)</f>
        <v>8</v>
      </c>
      <c r="AB19" s="5">
        <v>1</v>
      </c>
      <c r="AD19" s="6" t="s">
        <v>1008</v>
      </c>
      <c r="AE19" s="4" t="s">
        <v>717</v>
      </c>
      <c r="AF19" s="4" t="s">
        <v>965</v>
      </c>
      <c r="AH19" s="4" t="b">
        <f t="shared" si="9"/>
        <v>1</v>
      </c>
      <c r="AI19" s="4" t="s">
        <v>1012</v>
      </c>
      <c r="AJ19" s="4" t="s">
        <v>364</v>
      </c>
      <c r="AO19" s="4">
        <f>COUNTIF(SpellbooksOwned!$D$2:$K$49,$A19)</f>
        <v>2</v>
      </c>
      <c r="AP19" s="4">
        <f>IF(ISBLANK(AI19),0,VLOOKUP(AI19,SpellbooksOwned!$A$1:$B$49,2,FALSE))</f>
        <v>1</v>
      </c>
      <c r="AQ19" s="4">
        <f>IF(ISBLANK(AJ19),0,VLOOKUP(AJ19,SpellbooksOwned!$A$1:$B$49,2,FALSE))</f>
        <v>0</v>
      </c>
      <c r="AR19" s="4">
        <f>IF(ISBLANK(AK19),0,VLOOKUP(AK19,SpellbooksOwned!$A$1:$B$49,2,FALSE))</f>
        <v>0</v>
      </c>
      <c r="AS19" s="4">
        <f>IF(ISBLANK(AL19),0,VLOOKUP(AL19,SpellbooksOwned!$A$1:$B$49,2,FALSE))</f>
        <v>0</v>
      </c>
      <c r="AT19" s="4">
        <f>IF(ISBLANK(AM19),0,VLOOKUP(AM19,SpellbooksOwned!$A$1:$B$49,2,FALSE))</f>
        <v>0</v>
      </c>
      <c r="AU19" s="4">
        <f>IF(ISBLANK(AN19),0,VLOOKUP(AN19,SpellbooksOwned!$A$1:$B$49,2,FALSE))</f>
        <v>0</v>
      </c>
      <c r="AV19" s="4">
        <f t="shared" si="20"/>
        <v>66</v>
      </c>
      <c r="AW19" s="26">
        <f t="shared" si="21"/>
        <v>66</v>
      </c>
      <c r="AX19" s="29">
        <f t="shared" si="10"/>
        <v>0.8238144797733274</v>
      </c>
      <c r="AY19" s="4" t="str">
        <f t="shared" si="22"/>
        <v>Very Poor</v>
      </c>
      <c r="AZ19" s="4"/>
    </row>
    <row r="20" spans="1:52" ht="12.75">
      <c r="A20" s="4" t="s">
        <v>403</v>
      </c>
      <c r="B20" s="4">
        <v>3</v>
      </c>
      <c r="C20" s="4" t="s">
        <v>371</v>
      </c>
      <c r="F20" s="4">
        <f t="shared" si="0"/>
        <v>1</v>
      </c>
      <c r="G20" s="4">
        <f t="shared" si="1"/>
      </c>
      <c r="H20" s="4">
        <f t="shared" si="2"/>
      </c>
      <c r="I20" s="4">
        <f t="shared" si="23"/>
        <v>11</v>
      </c>
      <c r="J20" s="4">
        <f t="shared" si="3"/>
        <v>0</v>
      </c>
      <c r="K20" s="4">
        <f t="shared" si="4"/>
      </c>
      <c r="L20" s="4">
        <f t="shared" si="12"/>
      </c>
      <c r="M20" s="4">
        <f t="shared" si="13"/>
        <v>0</v>
      </c>
      <c r="N20" s="4">
        <f t="shared" si="14"/>
      </c>
      <c r="O20" s="4">
        <f t="shared" si="15"/>
        <v>0</v>
      </c>
      <c r="P20" s="4">
        <f t="shared" si="5"/>
      </c>
      <c r="Q20" s="4">
        <f t="shared" si="16"/>
        <v>0</v>
      </c>
      <c r="R20" s="4">
        <f t="shared" si="6"/>
      </c>
      <c r="S20" s="4">
        <f t="shared" si="17"/>
        <v>0</v>
      </c>
      <c r="T20" s="4">
        <f t="shared" si="18"/>
        <v>1</v>
      </c>
      <c r="U20" s="5">
        <f t="shared" si="7"/>
        <v>15</v>
      </c>
      <c r="V20" s="5">
        <f t="shared" si="8"/>
        <v>15</v>
      </c>
      <c r="W20" s="5">
        <v>999</v>
      </c>
      <c r="X20" s="5">
        <f t="shared" si="24"/>
        <v>15</v>
      </c>
      <c r="Y20" s="6">
        <f>3*(2+X20*15/250+1)/2</f>
        <v>5.85</v>
      </c>
      <c r="Z20" s="5" t="s">
        <v>939</v>
      </c>
      <c r="AA20" s="5">
        <f>8+INT(15*X20/100)</f>
        <v>10</v>
      </c>
      <c r="AB20" s="5">
        <v>1</v>
      </c>
      <c r="AD20" s="6" t="s">
        <v>151</v>
      </c>
      <c r="AE20" s="4" t="s">
        <v>780</v>
      </c>
      <c r="AF20" s="4" t="s">
        <v>957</v>
      </c>
      <c r="AH20" s="4" t="b">
        <f t="shared" si="9"/>
        <v>0</v>
      </c>
      <c r="AI20" s="4" t="s">
        <v>609</v>
      </c>
      <c r="AO20" s="4">
        <f>COUNTIF(SpellbooksOwned!$D$2:$K$49,$A20)</f>
        <v>1</v>
      </c>
      <c r="AP20" s="4">
        <f>IF(ISBLANK(AI20),0,VLOOKUP(AI20,SpellbooksOwned!$A$1:$B$49,2,FALSE))</f>
        <v>0</v>
      </c>
      <c r="AQ20" s="4">
        <f>IF(ISBLANK(AJ20),0,VLOOKUP(AJ20,SpellbooksOwned!$A$1:$B$49,2,FALSE))</f>
        <v>0</v>
      </c>
      <c r="AR20" s="4">
        <f>IF(ISBLANK(AK20),0,VLOOKUP(AK20,SpellbooksOwned!$A$1:$B$49,2,FALSE))</f>
        <v>0</v>
      </c>
      <c r="AS20" s="4">
        <f>IF(ISBLANK(AL20),0,VLOOKUP(AL20,SpellbooksOwned!$A$1:$B$49,2,FALSE))</f>
        <v>0</v>
      </c>
      <c r="AT20" s="4">
        <f>IF(ISBLANK(AM20),0,VLOOKUP(AM20,SpellbooksOwned!$A$1:$B$49,2,FALSE))</f>
        <v>0</v>
      </c>
      <c r="AU20" s="4">
        <f>IF(ISBLANK(AN20),0,VLOOKUP(AN20,SpellbooksOwned!$A$1:$B$49,2,FALSE))</f>
        <v>0</v>
      </c>
      <c r="AV20" s="4">
        <f t="shared" si="20"/>
        <v>1</v>
      </c>
      <c r="AW20" s="26">
        <f t="shared" si="21"/>
        <v>28</v>
      </c>
      <c r="AX20" s="29">
        <f t="shared" si="10"/>
        <v>0.08850805170850018</v>
      </c>
      <c r="AY20" s="4" t="str">
        <f t="shared" si="22"/>
        <v>Very Good</v>
      </c>
      <c r="AZ20" s="4"/>
    </row>
    <row r="21" spans="1:52" ht="12.75">
      <c r="A21" s="4" t="s">
        <v>408</v>
      </c>
      <c r="B21" s="4">
        <v>6</v>
      </c>
      <c r="C21" s="4" t="s">
        <v>371</v>
      </c>
      <c r="F21" s="4">
        <f t="shared" si="0"/>
        <v>1</v>
      </c>
      <c r="G21" s="4">
        <f t="shared" si="1"/>
      </c>
      <c r="H21" s="4">
        <f t="shared" si="2"/>
      </c>
      <c r="I21" s="4">
        <f t="shared" si="23"/>
        <v>11</v>
      </c>
      <c r="J21" s="4">
        <f t="shared" si="3"/>
        <v>0</v>
      </c>
      <c r="K21" s="4">
        <f t="shared" si="4"/>
      </c>
      <c r="L21" s="4">
        <f t="shared" si="12"/>
      </c>
      <c r="M21" s="4">
        <f t="shared" si="13"/>
        <v>0</v>
      </c>
      <c r="N21" s="4">
        <f t="shared" si="14"/>
      </c>
      <c r="O21" s="4">
        <f t="shared" si="15"/>
        <v>0</v>
      </c>
      <c r="P21" s="4">
        <f t="shared" si="5"/>
      </c>
      <c r="Q21" s="4">
        <f t="shared" si="16"/>
        <v>0</v>
      </c>
      <c r="R21" s="4">
        <f t="shared" si="6"/>
      </c>
      <c r="S21" s="4">
        <f t="shared" si="17"/>
        <v>0</v>
      </c>
      <c r="T21" s="4">
        <f t="shared" si="18"/>
        <v>1</v>
      </c>
      <c r="U21" s="5">
        <f t="shared" si="7"/>
        <v>15</v>
      </c>
      <c r="V21" s="5">
        <f t="shared" si="8"/>
        <v>15</v>
      </c>
      <c r="X21" s="5">
        <f t="shared" si="24"/>
        <v>15</v>
      </c>
      <c r="Z21" s="5" t="s">
        <v>64</v>
      </c>
      <c r="AB21" s="5">
        <v>1</v>
      </c>
      <c r="AC21" s="6">
        <f>(10*8/((X21+1)/2))</f>
        <v>10</v>
      </c>
      <c r="AD21" s="6" t="s">
        <v>327</v>
      </c>
      <c r="AE21" s="4" t="s">
        <v>850</v>
      </c>
      <c r="AH21" s="4" t="b">
        <f t="shared" si="9"/>
        <v>1</v>
      </c>
      <c r="AI21" s="4" t="s">
        <v>650</v>
      </c>
      <c r="AO21" s="4">
        <f>COUNTIF(SpellbooksOwned!$D$2:$K$49,$A21)</f>
        <v>1</v>
      </c>
      <c r="AP21" s="4">
        <f>IF(ISBLANK(AI21),0,VLOOKUP(AI21,SpellbooksOwned!$A$1:$B$49,2,FALSE))</f>
        <v>1</v>
      </c>
      <c r="AQ21" s="4">
        <f>IF(ISBLANK(AJ21),0,VLOOKUP(AJ21,SpellbooksOwned!$A$1:$B$49,2,FALSE))</f>
        <v>0</v>
      </c>
      <c r="AR21" s="4">
        <f>IF(ISBLANK(AK21),0,VLOOKUP(AK21,SpellbooksOwned!$A$1:$B$49,2,FALSE))</f>
        <v>0</v>
      </c>
      <c r="AS21" s="4">
        <f>IF(ISBLANK(AL21),0,VLOOKUP(AL21,SpellbooksOwned!$A$1:$B$49,2,FALSE))</f>
        <v>0</v>
      </c>
      <c r="AT21" s="4">
        <f>IF(ISBLANK(AM21),0,VLOOKUP(AM21,SpellbooksOwned!$A$1:$B$49,2,FALSE))</f>
        <v>0</v>
      </c>
      <c r="AU21" s="4">
        <f>IF(ISBLANK(AN21),0,VLOOKUP(AN21,SpellbooksOwned!$A$1:$B$49,2,FALSE))</f>
        <v>0</v>
      </c>
      <c r="AV21" s="4">
        <f t="shared" si="20"/>
        <v>116</v>
      </c>
      <c r="AW21" s="26">
        <f t="shared" si="21"/>
        <v>100</v>
      </c>
      <c r="AX21" s="29">
        <f t="shared" si="10"/>
        <v>0.9985109323648599</v>
      </c>
      <c r="AY21" s="4" t="str">
        <f t="shared" si="22"/>
        <v>Useless</v>
      </c>
      <c r="AZ21" s="4"/>
    </row>
    <row r="22" spans="1:52" ht="12.75">
      <c r="A22" s="4" t="s">
        <v>415</v>
      </c>
      <c r="B22" s="4">
        <v>3</v>
      </c>
      <c r="C22" s="4" t="s">
        <v>477</v>
      </c>
      <c r="F22" s="4">
        <f t="shared" si="0"/>
        <v>1</v>
      </c>
      <c r="G22" s="4">
        <f t="shared" si="1"/>
      </c>
      <c r="H22" s="4">
        <f t="shared" si="2"/>
      </c>
      <c r="I22" s="4">
        <f t="shared" si="23"/>
        <v>11</v>
      </c>
      <c r="J22" s="4">
        <f t="shared" si="3"/>
        <v>0</v>
      </c>
      <c r="K22" s="4">
        <f t="shared" si="4"/>
      </c>
      <c r="L22" s="4">
        <f t="shared" si="12"/>
      </c>
      <c r="M22" s="4">
        <f t="shared" si="13"/>
        <v>0</v>
      </c>
      <c r="N22" s="4">
        <f t="shared" si="14"/>
      </c>
      <c r="O22" s="4">
        <f t="shared" si="15"/>
        <v>0</v>
      </c>
      <c r="P22" s="4">
        <f t="shared" si="5"/>
      </c>
      <c r="Q22" s="4">
        <f t="shared" si="16"/>
        <v>0</v>
      </c>
      <c r="R22" s="4">
        <f t="shared" si="6"/>
      </c>
      <c r="S22" s="4">
        <f t="shared" si="17"/>
        <v>0</v>
      </c>
      <c r="T22" s="4">
        <f t="shared" si="18"/>
        <v>1</v>
      </c>
      <c r="U22" s="5">
        <f t="shared" si="7"/>
        <v>15</v>
      </c>
      <c r="V22" s="5">
        <f t="shared" si="8"/>
        <v>15</v>
      </c>
      <c r="X22" s="5">
        <f t="shared" si="24"/>
        <v>15</v>
      </c>
      <c r="Z22" s="5" t="s">
        <v>908</v>
      </c>
      <c r="AB22" s="5">
        <f>VLOOKUP(AG22,Enchantments!$E$8:$G$36,3,FALSE)</f>
        <v>30</v>
      </c>
      <c r="AD22" s="6" t="s">
        <v>534</v>
      </c>
      <c r="AE22" s="4" t="s">
        <v>715</v>
      </c>
      <c r="AG22" t="s">
        <v>513</v>
      </c>
      <c r="AH22" s="4" t="b">
        <f t="shared" si="9"/>
        <v>1</v>
      </c>
      <c r="AI22" s="4" t="s">
        <v>1011</v>
      </c>
      <c r="AJ22" s="4" t="s">
        <v>38</v>
      </c>
      <c r="AK22" s="4" t="s">
        <v>1048</v>
      </c>
      <c r="AO22" s="4">
        <f>COUNTIF(SpellbooksOwned!$D$2:$K$49,$A22)</f>
        <v>3</v>
      </c>
      <c r="AP22" s="4">
        <f>IF(ISBLANK(AI22),0,VLOOKUP(AI22,SpellbooksOwned!$A$1:$B$49,2,FALSE))</f>
        <v>0</v>
      </c>
      <c r="AQ22" s="4">
        <f>IF(ISBLANK(AJ22),0,VLOOKUP(AJ22,SpellbooksOwned!$A$1:$B$49,2,FALSE))</f>
        <v>0</v>
      </c>
      <c r="AR22" s="4">
        <f>IF(ISBLANK(AK22),0,VLOOKUP(AK22,SpellbooksOwned!$A$1:$B$49,2,FALSE))</f>
        <v>1</v>
      </c>
      <c r="AS22" s="4">
        <f>IF(ISBLANK(AL22),0,VLOOKUP(AL22,SpellbooksOwned!$A$1:$B$49,2,FALSE))</f>
        <v>0</v>
      </c>
      <c r="AT22" s="4">
        <f>IF(ISBLANK(AM22),0,VLOOKUP(AM22,SpellbooksOwned!$A$1:$B$49,2,FALSE))</f>
        <v>0</v>
      </c>
      <c r="AU22" s="4">
        <f>IF(ISBLANK(AN22),0,VLOOKUP(AN22,SpellbooksOwned!$A$1:$B$49,2,FALSE))</f>
        <v>0</v>
      </c>
      <c r="AV22" s="4">
        <f t="shared" si="20"/>
        <v>1</v>
      </c>
      <c r="AW22" s="26">
        <f t="shared" si="21"/>
        <v>28</v>
      </c>
      <c r="AX22" s="29">
        <f t="shared" si="10"/>
        <v>0.08850805170850018</v>
      </c>
      <c r="AY22" s="4" t="str">
        <f t="shared" si="22"/>
        <v>Very Good</v>
      </c>
      <c r="AZ22" s="4"/>
    </row>
    <row r="23" spans="1:52" ht="12.75">
      <c r="A23" s="4" t="s">
        <v>416</v>
      </c>
      <c r="B23" s="4">
        <v>3</v>
      </c>
      <c r="C23" s="4" t="s">
        <v>477</v>
      </c>
      <c r="F23" s="4">
        <f t="shared" si="0"/>
        <v>1</v>
      </c>
      <c r="G23" s="4">
        <f t="shared" si="1"/>
      </c>
      <c r="H23" s="4">
        <f t="shared" si="2"/>
      </c>
      <c r="I23" s="4">
        <f t="shared" si="23"/>
        <v>11</v>
      </c>
      <c r="J23" s="4">
        <f t="shared" si="3"/>
        <v>0</v>
      </c>
      <c r="K23" s="4">
        <f t="shared" si="4"/>
      </c>
      <c r="L23" s="4">
        <f t="shared" si="12"/>
      </c>
      <c r="M23" s="4">
        <f t="shared" si="13"/>
        <v>0</v>
      </c>
      <c r="N23" s="4">
        <f t="shared" si="14"/>
      </c>
      <c r="O23" s="4">
        <f t="shared" si="15"/>
        <v>0</v>
      </c>
      <c r="P23" s="4">
        <f t="shared" si="5"/>
      </c>
      <c r="Q23" s="4">
        <f t="shared" si="16"/>
        <v>0</v>
      </c>
      <c r="R23" s="4">
        <f t="shared" si="6"/>
      </c>
      <c r="S23" s="4">
        <f t="shared" si="17"/>
        <v>0</v>
      </c>
      <c r="T23" s="4">
        <f t="shared" si="18"/>
        <v>1</v>
      </c>
      <c r="U23" s="5">
        <f t="shared" si="7"/>
        <v>15</v>
      </c>
      <c r="V23" s="5">
        <f t="shared" si="8"/>
        <v>15</v>
      </c>
      <c r="X23" s="5">
        <f t="shared" si="24"/>
        <v>15</v>
      </c>
      <c r="Z23" s="5" t="s">
        <v>908</v>
      </c>
      <c r="AB23" s="5">
        <f>VLOOKUP(AG23,Enchantments!$E$8:$G$36,3,FALSE)</f>
        <v>40</v>
      </c>
      <c r="AD23" s="6" t="s">
        <v>525</v>
      </c>
      <c r="AE23" s="4" t="s">
        <v>816</v>
      </c>
      <c r="AG23" s="5" t="str">
        <f>CONCATENATE("ENCH_ABJ_",TEXT(MIN(6,2+INT(($X23+1)/2/4)),"0"))</f>
        <v>ENCH_ABJ_4</v>
      </c>
      <c r="AH23" s="4" t="b">
        <f t="shared" si="9"/>
        <v>0</v>
      </c>
      <c r="AI23" s="4" t="s">
        <v>1019</v>
      </c>
      <c r="AJ23" s="4" t="s">
        <v>631</v>
      </c>
      <c r="AO23" s="4">
        <f>COUNTIF(SpellbooksOwned!$D$2:$K$49,$A23)</f>
        <v>2</v>
      </c>
      <c r="AP23" s="4">
        <f>IF(ISBLANK(AI23),0,VLOOKUP(AI23,SpellbooksOwned!$A$1:$B$49,2,FALSE))</f>
        <v>0</v>
      </c>
      <c r="AQ23" s="4">
        <f>IF(ISBLANK(AJ23),0,VLOOKUP(AJ23,SpellbooksOwned!$A$1:$B$49,2,FALSE))</f>
        <v>0</v>
      </c>
      <c r="AR23" s="4">
        <f>IF(ISBLANK(AK23),0,VLOOKUP(AK23,SpellbooksOwned!$A$1:$B$49,2,FALSE))</f>
        <v>0</v>
      </c>
      <c r="AS23" s="4">
        <f>IF(ISBLANK(AL23),0,VLOOKUP(AL23,SpellbooksOwned!$A$1:$B$49,2,FALSE))</f>
        <v>0</v>
      </c>
      <c r="AT23" s="4">
        <f>IF(ISBLANK(AM23),0,VLOOKUP(AM23,SpellbooksOwned!$A$1:$B$49,2,FALSE))</f>
        <v>0</v>
      </c>
      <c r="AU23" s="4">
        <f>IF(ISBLANK(AN23),0,VLOOKUP(AN23,SpellbooksOwned!$A$1:$B$49,2,FALSE))</f>
        <v>0</v>
      </c>
      <c r="AV23" s="4">
        <f t="shared" si="20"/>
        <v>1</v>
      </c>
      <c r="AW23" s="26">
        <f t="shared" si="21"/>
        <v>28</v>
      </c>
      <c r="AX23" s="29">
        <f t="shared" si="10"/>
        <v>0.08850805170850018</v>
      </c>
      <c r="AY23" s="4" t="str">
        <f t="shared" si="22"/>
        <v>Very Good</v>
      </c>
      <c r="AZ23" s="4"/>
    </row>
    <row r="24" spans="1:52" ht="12.75">
      <c r="A24" s="4" t="s">
        <v>393</v>
      </c>
      <c r="B24" s="4">
        <v>5</v>
      </c>
      <c r="C24" s="4" t="s">
        <v>359</v>
      </c>
      <c r="F24" s="4">
        <f t="shared" si="0"/>
        <v>1</v>
      </c>
      <c r="G24" s="4">
        <f t="shared" si="1"/>
      </c>
      <c r="H24" s="4">
        <f t="shared" si="2"/>
      </c>
      <c r="I24" s="4">
        <f t="shared" si="23"/>
        <v>11</v>
      </c>
      <c r="J24" s="4">
        <f t="shared" si="3"/>
        <v>0</v>
      </c>
      <c r="K24" s="4">
        <f t="shared" si="4"/>
      </c>
      <c r="L24" s="4">
        <f t="shared" si="12"/>
      </c>
      <c r="M24" s="4">
        <f t="shared" si="13"/>
        <v>0</v>
      </c>
      <c r="N24" s="4">
        <f t="shared" si="14"/>
      </c>
      <c r="O24" s="4">
        <f t="shared" si="15"/>
        <v>0</v>
      </c>
      <c r="P24" s="4">
        <f t="shared" si="5"/>
      </c>
      <c r="Q24" s="4">
        <f t="shared" si="16"/>
        <v>0</v>
      </c>
      <c r="R24" s="4">
        <f t="shared" si="6"/>
      </c>
      <c r="S24" s="4">
        <f t="shared" si="17"/>
        <v>0</v>
      </c>
      <c r="T24" s="4">
        <f t="shared" si="18"/>
        <v>1</v>
      </c>
      <c r="U24" s="5">
        <f t="shared" si="7"/>
        <v>15</v>
      </c>
      <c r="V24" s="5">
        <f t="shared" si="8"/>
        <v>15</v>
      </c>
      <c r="X24" s="5">
        <f t="shared" si="24"/>
        <v>15</v>
      </c>
      <c r="Z24" s="5" t="s">
        <v>59</v>
      </c>
      <c r="AB24" s="5">
        <f>VLOOKUP(AG24,Enchantments!$E$8:$G$36,3,FALSE)</f>
        <v>10</v>
      </c>
      <c r="AD24" s="6" t="s">
        <v>320</v>
      </c>
      <c r="AE24" s="4" t="s">
        <v>769</v>
      </c>
      <c r="AG24" t="s">
        <v>296</v>
      </c>
      <c r="AH24" s="4" t="b">
        <f t="shared" si="9"/>
        <v>0</v>
      </c>
      <c r="AI24" s="4" t="s">
        <v>593</v>
      </c>
      <c r="AO24" s="4">
        <f>COUNTIF(SpellbooksOwned!$D$2:$K$49,$A24)</f>
        <v>1</v>
      </c>
      <c r="AP24" s="4">
        <f>IF(ISBLANK(AI24),0,VLOOKUP(AI24,SpellbooksOwned!$A$1:$B$49,2,FALSE))</f>
        <v>0</v>
      </c>
      <c r="AQ24" s="4">
        <f>IF(ISBLANK(AJ24),0,VLOOKUP(AJ24,SpellbooksOwned!$A$1:$B$49,2,FALSE))</f>
        <v>0</v>
      </c>
      <c r="AR24" s="4">
        <f>IF(ISBLANK(AK24),0,VLOOKUP(AK24,SpellbooksOwned!$A$1:$B$49,2,FALSE))</f>
        <v>0</v>
      </c>
      <c r="AS24" s="4">
        <f>IF(ISBLANK(AL24),0,VLOOKUP(AL24,SpellbooksOwned!$A$1:$B$49,2,FALSE))</f>
        <v>0</v>
      </c>
      <c r="AT24" s="4">
        <f>IF(ISBLANK(AM24),0,VLOOKUP(AM24,SpellbooksOwned!$A$1:$B$49,2,FALSE))</f>
        <v>0</v>
      </c>
      <c r="AU24" s="4">
        <f>IF(ISBLANK(AN24),0,VLOOKUP(AN24,SpellbooksOwned!$A$1:$B$49,2,FALSE))</f>
        <v>0</v>
      </c>
      <c r="AV24" s="4">
        <f t="shared" si="20"/>
        <v>66</v>
      </c>
      <c r="AW24" s="26">
        <f t="shared" si="21"/>
        <v>66</v>
      </c>
      <c r="AX24" s="29">
        <f t="shared" si="10"/>
        <v>0.8238144797733274</v>
      </c>
      <c r="AY24" s="4" t="str">
        <f t="shared" si="22"/>
        <v>Very Poor</v>
      </c>
      <c r="AZ24" s="4"/>
    </row>
    <row r="25" spans="1:52" ht="12.75">
      <c r="A25" s="4" t="s">
        <v>407</v>
      </c>
      <c r="B25" s="4">
        <v>5</v>
      </c>
      <c r="C25" s="4" t="s">
        <v>371</v>
      </c>
      <c r="D25" s="4" t="s">
        <v>383</v>
      </c>
      <c r="F25" s="4">
        <f t="shared" si="0"/>
        <v>1</v>
      </c>
      <c r="G25" s="4">
        <f t="shared" si="1"/>
        <v>1</v>
      </c>
      <c r="H25" s="4">
        <f t="shared" si="2"/>
      </c>
      <c r="I25" s="4">
        <f t="shared" si="23"/>
        <v>11</v>
      </c>
      <c r="J25" s="4">
        <f t="shared" si="3"/>
        <v>0</v>
      </c>
      <c r="K25" s="4">
        <f t="shared" si="4"/>
        <v>0</v>
      </c>
      <c r="L25" s="4">
        <f t="shared" si="12"/>
      </c>
      <c r="M25" s="4">
        <f t="shared" si="13"/>
        <v>0</v>
      </c>
      <c r="N25" s="4">
        <f t="shared" si="14"/>
      </c>
      <c r="O25" s="4">
        <f t="shared" si="15"/>
        <v>0</v>
      </c>
      <c r="P25" s="4">
        <f t="shared" si="5"/>
      </c>
      <c r="Q25" s="4">
        <f t="shared" si="16"/>
        <v>0</v>
      </c>
      <c r="R25" s="4">
        <f t="shared" si="6"/>
      </c>
      <c r="S25" s="4">
        <f t="shared" si="17"/>
        <v>0</v>
      </c>
      <c r="T25" s="4">
        <f t="shared" si="18"/>
        <v>1</v>
      </c>
      <c r="U25" s="5">
        <f t="shared" si="7"/>
        <v>15</v>
      </c>
      <c r="V25" s="5">
        <f t="shared" si="8"/>
        <v>15</v>
      </c>
      <c r="X25" s="5">
        <f t="shared" si="24"/>
        <v>15</v>
      </c>
      <c r="Z25" s="5" t="s">
        <v>1000</v>
      </c>
      <c r="AB25" s="5" t="s">
        <v>158</v>
      </c>
      <c r="AC25" s="5">
        <f>INT(X25*1.5)</f>
        <v>22</v>
      </c>
      <c r="AD25" s="6" t="s">
        <v>595</v>
      </c>
      <c r="AE25" s="4" t="s">
        <v>854</v>
      </c>
      <c r="AF25" s="4" t="s">
        <v>995</v>
      </c>
      <c r="AH25" s="4" t="b">
        <f t="shared" si="9"/>
        <v>0</v>
      </c>
      <c r="AI25" s="4" t="s">
        <v>39</v>
      </c>
      <c r="AO25" s="4">
        <f>COUNTIF(SpellbooksOwned!$D$2:$K$49,$A25)</f>
        <v>1</v>
      </c>
      <c r="AP25" s="4">
        <f>IF(ISBLANK(AI25),0,VLOOKUP(AI25,SpellbooksOwned!$A$1:$B$49,2,FALSE))</f>
        <v>0</v>
      </c>
      <c r="AQ25" s="4">
        <f>IF(ISBLANK(AJ25),0,VLOOKUP(AJ25,SpellbooksOwned!$A$1:$B$49,2,FALSE))</f>
        <v>0</v>
      </c>
      <c r="AR25" s="4">
        <f>IF(ISBLANK(AK25),0,VLOOKUP(AK25,SpellbooksOwned!$A$1:$B$49,2,FALSE))</f>
        <v>0</v>
      </c>
      <c r="AS25" s="4">
        <f>IF(ISBLANK(AL25),0,VLOOKUP(AL25,SpellbooksOwned!$A$1:$B$49,2,FALSE))</f>
        <v>0</v>
      </c>
      <c r="AT25" s="4">
        <f>IF(ISBLANK(AM25),0,VLOOKUP(AM25,SpellbooksOwned!$A$1:$B$49,2,FALSE))</f>
        <v>0</v>
      </c>
      <c r="AU25" s="4">
        <f>IF(ISBLANK(AN25),0,VLOOKUP(AN25,SpellbooksOwned!$A$1:$B$49,2,FALSE))</f>
        <v>0</v>
      </c>
      <c r="AV25" s="4">
        <f t="shared" si="20"/>
        <v>66</v>
      </c>
      <c r="AW25" s="26">
        <f t="shared" si="21"/>
        <v>66</v>
      </c>
      <c r="AX25" s="29">
        <f t="shared" si="10"/>
        <v>0.8238144797733274</v>
      </c>
      <c r="AY25" s="4" t="str">
        <f t="shared" si="22"/>
        <v>Very Poor</v>
      </c>
      <c r="AZ25" s="4"/>
    </row>
    <row r="26" spans="1:52" ht="12.75">
      <c r="A26" s="4" t="s">
        <v>399</v>
      </c>
      <c r="B26" s="4">
        <v>4</v>
      </c>
      <c r="C26" s="4" t="s">
        <v>367</v>
      </c>
      <c r="D26" s="4" t="s">
        <v>383</v>
      </c>
      <c r="F26" s="4">
        <f t="shared" si="0"/>
        <v>1</v>
      </c>
      <c r="G26" s="4">
        <f t="shared" si="1"/>
        <v>1</v>
      </c>
      <c r="H26" s="4">
        <f t="shared" si="2"/>
      </c>
      <c r="I26" s="4">
        <f>INT(Spellcasting/2)+INT(2*AVERAGE(F26:H26))+3*RingOfWizardry+4*StaffOfWizardry+2*RobeOfTheArchmagi</f>
        <v>11</v>
      </c>
      <c r="J26" s="4">
        <f t="shared" si="3"/>
        <v>0</v>
      </c>
      <c r="K26" s="4">
        <f t="shared" si="4"/>
        <v>0</v>
      </c>
      <c r="L26" s="4">
        <f t="shared" si="12"/>
      </c>
      <c r="M26" s="4" t="str">
        <f t="shared" si="13"/>
        <v>Fire</v>
      </c>
      <c r="N26" s="4">
        <f t="shared" si="14"/>
        <v>0</v>
      </c>
      <c r="O26" s="4">
        <f t="shared" si="15"/>
        <v>0</v>
      </c>
      <c r="P26" s="4">
        <f t="shared" si="5"/>
      </c>
      <c r="Q26" s="4">
        <f t="shared" si="16"/>
        <v>0</v>
      </c>
      <c r="R26" s="4">
        <f t="shared" si="6"/>
      </c>
      <c r="S26" s="4">
        <f t="shared" si="17"/>
        <v>0</v>
      </c>
      <c r="T26" s="4">
        <f t="shared" si="18"/>
        <v>1</v>
      </c>
      <c r="U26" s="5">
        <f t="shared" si="7"/>
        <v>15</v>
      </c>
      <c r="V26" s="5">
        <f t="shared" si="8"/>
        <v>15</v>
      </c>
      <c r="X26" s="5">
        <f>MIN(V26:W26)</f>
        <v>15</v>
      </c>
      <c r="Z26" s="5" t="s">
        <v>64</v>
      </c>
      <c r="AB26" s="5">
        <f>MIN(30,10+2*INT(X26/5))</f>
        <v>16</v>
      </c>
      <c r="AC26" s="5">
        <f>2+INT(CharacterProperties!B12/6)</f>
        <v>2</v>
      </c>
      <c r="AD26" s="6" t="s">
        <v>330</v>
      </c>
      <c r="AE26" s="4" t="s">
        <v>754</v>
      </c>
      <c r="AH26" s="4" t="b">
        <f t="shared" si="9"/>
        <v>1</v>
      </c>
      <c r="AI26" s="4" t="s">
        <v>367</v>
      </c>
      <c r="AO26" s="4">
        <f>COUNTIF(SpellbooksOwned!$D$2:$K$49,$A26)</f>
        <v>1</v>
      </c>
      <c r="AP26" s="4">
        <f>IF(ISBLANK(AI26),0,VLOOKUP(AI26,SpellbooksOwned!$A$1:$B$49,2,FALSE))</f>
        <v>1</v>
      </c>
      <c r="AQ26" s="4">
        <f>IF(ISBLANK(AJ26),0,VLOOKUP(AJ26,SpellbooksOwned!$A$1:$B$49,2,FALSE))</f>
        <v>0</v>
      </c>
      <c r="AR26" s="4">
        <f>IF(ISBLANK(AK26),0,VLOOKUP(AK26,SpellbooksOwned!$A$1:$B$49,2,FALSE))</f>
        <v>0</v>
      </c>
      <c r="AS26" s="4">
        <f>IF(ISBLANK(AL26),0,VLOOKUP(AL26,SpellbooksOwned!$A$1:$B$49,2,FALSE))</f>
        <v>0</v>
      </c>
      <c r="AT26" s="4">
        <f>IF(ISBLANK(AM26),0,VLOOKUP(AM26,SpellbooksOwned!$A$1:$B$49,2,FALSE))</f>
        <v>0</v>
      </c>
      <c r="AU26" s="4">
        <f>IF(ISBLANK(AN26),0,VLOOKUP(AN26,SpellbooksOwned!$A$1:$B$49,2,FALSE))</f>
        <v>0</v>
      </c>
      <c r="AV26" s="4">
        <f t="shared" si="20"/>
        <v>36</v>
      </c>
      <c r="AW26" s="26">
        <f t="shared" si="21"/>
        <v>41</v>
      </c>
      <c r="AX26" s="29">
        <f t="shared" si="10"/>
        <v>0.28433880816463963</v>
      </c>
      <c r="AY26" s="4" t="str">
        <f t="shared" si="22"/>
        <v>Fair</v>
      </c>
      <c r="AZ26" s="4"/>
    </row>
    <row r="27" spans="1:52" ht="12.75">
      <c r="A27" s="4" t="s">
        <v>389</v>
      </c>
      <c r="B27" s="4">
        <v>3</v>
      </c>
      <c r="C27" s="4" t="s">
        <v>359</v>
      </c>
      <c r="F27" s="4">
        <f t="shared" si="0"/>
        <v>1</v>
      </c>
      <c r="G27" s="4">
        <f t="shared" si="1"/>
      </c>
      <c r="H27" s="4">
        <f t="shared" si="2"/>
      </c>
      <c r="I27" s="4">
        <f aca="true" t="shared" si="25" ref="I27:I64">INT(Spellcasting/2)+INT(2*AVERAGE(F27:H27))+3*RingOfWizardry+4*StaffOfWizardry+2*RobeOfTheArchmagi</f>
        <v>11</v>
      </c>
      <c r="J27" s="4">
        <f t="shared" si="3"/>
        <v>0</v>
      </c>
      <c r="K27" s="4">
        <f t="shared" si="4"/>
      </c>
      <c r="L27" s="4">
        <f t="shared" si="12"/>
      </c>
      <c r="M27" s="4">
        <f t="shared" si="13"/>
        <v>0</v>
      </c>
      <c r="N27" s="4">
        <f t="shared" si="14"/>
      </c>
      <c r="O27" s="4">
        <f t="shared" si="15"/>
        <v>0</v>
      </c>
      <c r="P27" s="4">
        <f t="shared" si="5"/>
      </c>
      <c r="Q27" s="4">
        <f t="shared" si="16"/>
        <v>0</v>
      </c>
      <c r="R27" s="4">
        <f t="shared" si="6"/>
      </c>
      <c r="S27" s="4">
        <f t="shared" si="17"/>
        <v>0</v>
      </c>
      <c r="T27" s="4">
        <f t="shared" si="18"/>
        <v>1</v>
      </c>
      <c r="U27" s="5">
        <f t="shared" si="7"/>
        <v>15</v>
      </c>
      <c r="V27" s="5">
        <f t="shared" si="8"/>
        <v>15</v>
      </c>
      <c r="X27" s="5">
        <f aca="true" t="shared" si="26" ref="X27:X64">MIN(V27:W27)</f>
        <v>15</v>
      </c>
      <c r="Z27" s="5" t="s">
        <v>59</v>
      </c>
      <c r="AB27" s="5">
        <f>VLOOKUP(AG27,Enchantments!$E$8:$G$36,3,FALSE)</f>
        <v>8</v>
      </c>
      <c r="AC27" s="5">
        <f>INT(X27*1.5)</f>
        <v>22</v>
      </c>
      <c r="AD27" s="6" t="s">
        <v>319</v>
      </c>
      <c r="AE27" s="4" t="s">
        <v>785</v>
      </c>
      <c r="AF27" s="4" t="s">
        <v>987</v>
      </c>
      <c r="AG27" t="s">
        <v>297</v>
      </c>
      <c r="AH27" s="4" t="b">
        <f t="shared" si="9"/>
        <v>1</v>
      </c>
      <c r="AI27" s="4" t="s">
        <v>1015</v>
      </c>
      <c r="AJ27" s="4" t="s">
        <v>626</v>
      </c>
      <c r="AO27" s="4">
        <f>COUNTIF(SpellbooksOwned!$D$2:$K$49,$A27)</f>
        <v>2</v>
      </c>
      <c r="AP27" s="4">
        <f>IF(ISBLANK(AI27),0,VLOOKUP(AI27,SpellbooksOwned!$A$1:$B$49,2,FALSE))</f>
        <v>0</v>
      </c>
      <c r="AQ27" s="4">
        <f>IF(ISBLANK(AJ27),0,VLOOKUP(AJ27,SpellbooksOwned!$A$1:$B$49,2,FALSE))</f>
        <v>1</v>
      </c>
      <c r="AR27" s="4">
        <f>IF(ISBLANK(AK27),0,VLOOKUP(AK27,SpellbooksOwned!$A$1:$B$49,2,FALSE))</f>
        <v>0</v>
      </c>
      <c r="AS27" s="4">
        <f>IF(ISBLANK(AL27),0,VLOOKUP(AL27,SpellbooksOwned!$A$1:$B$49,2,FALSE))</f>
        <v>0</v>
      </c>
      <c r="AT27" s="4">
        <f>IF(ISBLANK(AM27),0,VLOOKUP(AM27,SpellbooksOwned!$A$1:$B$49,2,FALSE))</f>
        <v>0</v>
      </c>
      <c r="AU27" s="4">
        <f>IF(ISBLANK(AN27),0,VLOOKUP(AN27,SpellbooksOwned!$A$1:$B$49,2,FALSE))</f>
        <v>0</v>
      </c>
      <c r="AV27" s="4">
        <f t="shared" si="20"/>
        <v>1</v>
      </c>
      <c r="AW27" s="26">
        <f t="shared" si="21"/>
        <v>28</v>
      </c>
      <c r="AX27" s="29">
        <f t="shared" si="10"/>
        <v>0.08850805170850018</v>
      </c>
      <c r="AY27" s="4" t="str">
        <f t="shared" si="22"/>
        <v>Very Good</v>
      </c>
      <c r="AZ27" s="4"/>
    </row>
    <row r="28" spans="1:52" ht="12.75">
      <c r="A28" s="4" t="s">
        <v>385</v>
      </c>
      <c r="B28" s="4">
        <v>1</v>
      </c>
      <c r="C28" s="4" t="s">
        <v>359</v>
      </c>
      <c r="F28" s="4">
        <f t="shared" si="0"/>
        <v>1</v>
      </c>
      <c r="G28" s="4">
        <f t="shared" si="1"/>
      </c>
      <c r="H28" s="4">
        <f t="shared" si="2"/>
      </c>
      <c r="I28" s="4">
        <f t="shared" si="25"/>
        <v>11</v>
      </c>
      <c r="J28" s="4">
        <f t="shared" si="3"/>
        <v>0</v>
      </c>
      <c r="K28" s="4">
        <f t="shared" si="4"/>
      </c>
      <c r="L28" s="4">
        <f t="shared" si="12"/>
      </c>
      <c r="M28" s="4">
        <f t="shared" si="13"/>
        <v>0</v>
      </c>
      <c r="N28" s="4">
        <f t="shared" si="14"/>
      </c>
      <c r="O28" s="4">
        <f t="shared" si="15"/>
        <v>0</v>
      </c>
      <c r="P28" s="4">
        <f t="shared" si="5"/>
      </c>
      <c r="Q28" s="4">
        <f t="shared" si="16"/>
        <v>0</v>
      </c>
      <c r="R28" s="4">
        <f t="shared" si="6"/>
      </c>
      <c r="S28" s="4">
        <f t="shared" si="17"/>
        <v>0</v>
      </c>
      <c r="T28" s="4">
        <f t="shared" si="18"/>
        <v>1</v>
      </c>
      <c r="U28" s="5">
        <f t="shared" si="7"/>
        <v>15</v>
      </c>
      <c r="V28" s="5">
        <f t="shared" si="8"/>
        <v>15</v>
      </c>
      <c r="X28" s="5">
        <f t="shared" si="26"/>
        <v>15</v>
      </c>
      <c r="Z28" s="5" t="s">
        <v>64</v>
      </c>
      <c r="AB28" s="5">
        <f>MIN(50,5+INT(INT((X28+1)/2)/5))</f>
        <v>6</v>
      </c>
      <c r="AC28" s="5">
        <f>INT(X28*1.5)</f>
        <v>22</v>
      </c>
      <c r="AD28" s="6" t="s">
        <v>894</v>
      </c>
      <c r="AE28" s="4" t="s">
        <v>784</v>
      </c>
      <c r="AH28" s="4" t="b">
        <f t="shared" si="9"/>
        <v>1</v>
      </c>
      <c r="AI28" s="4" t="s">
        <v>1015</v>
      </c>
      <c r="AJ28" s="4" t="s">
        <v>1022</v>
      </c>
      <c r="AO28" s="4">
        <f>COUNTIF(SpellbooksOwned!$D$2:$K$49,$A28)</f>
        <v>2</v>
      </c>
      <c r="AP28" s="4">
        <f>IF(ISBLANK(AI28),0,VLOOKUP(AI28,SpellbooksOwned!$A$1:$B$49,2,FALSE))</f>
        <v>0</v>
      </c>
      <c r="AQ28" s="4">
        <f>IF(ISBLANK(AJ28),0,VLOOKUP(AJ28,SpellbooksOwned!$A$1:$B$49,2,FALSE))</f>
        <v>1</v>
      </c>
      <c r="AR28" s="4">
        <f>IF(ISBLANK(AK28),0,VLOOKUP(AK28,SpellbooksOwned!$A$1:$B$49,2,FALSE))</f>
        <v>0</v>
      </c>
      <c r="AS28" s="4">
        <f>IF(ISBLANK(AL28),0,VLOOKUP(AL28,SpellbooksOwned!$A$1:$B$49,2,FALSE))</f>
        <v>0</v>
      </c>
      <c r="AT28" s="4">
        <f>IF(ISBLANK(AM28),0,VLOOKUP(AM28,SpellbooksOwned!$A$1:$B$49,2,FALSE))</f>
        <v>0</v>
      </c>
      <c r="AU28" s="4">
        <f>IF(ISBLANK(AN28),0,VLOOKUP(AN28,SpellbooksOwned!$A$1:$B$49,2,FALSE))</f>
        <v>0</v>
      </c>
      <c r="AV28" s="4">
        <f t="shared" si="20"/>
        <v>-31</v>
      </c>
      <c r="AW28" s="26">
        <f t="shared" si="21"/>
        <v>18</v>
      </c>
      <c r="AX28" s="29">
        <f t="shared" si="10"/>
        <v>0.025587989795647026</v>
      </c>
      <c r="AY28" s="4" t="str">
        <f t="shared" si="22"/>
        <v>Great</v>
      </c>
      <c r="AZ28" s="4"/>
    </row>
    <row r="29" spans="1:52" ht="12.75">
      <c r="A29" s="4" t="s">
        <v>360</v>
      </c>
      <c r="B29" s="4">
        <v>8</v>
      </c>
      <c r="C29" s="4" t="s">
        <v>374</v>
      </c>
      <c r="D29" s="4" t="s">
        <v>361</v>
      </c>
      <c r="F29" s="4">
        <f t="shared" si="0"/>
        <v>1</v>
      </c>
      <c r="G29" s="4">
        <f t="shared" si="1"/>
        <v>1</v>
      </c>
      <c r="H29" s="4">
        <f t="shared" si="2"/>
      </c>
      <c r="I29" s="4">
        <f t="shared" si="25"/>
        <v>11</v>
      </c>
      <c r="J29" s="4">
        <f t="shared" si="3"/>
        <v>0</v>
      </c>
      <c r="K29" s="4">
        <f t="shared" si="4"/>
        <v>0</v>
      </c>
      <c r="L29" s="4">
        <f t="shared" si="12"/>
      </c>
      <c r="M29" s="4" t="str">
        <f t="shared" si="13"/>
        <v>Earth</v>
      </c>
      <c r="N29" s="4">
        <f t="shared" si="14"/>
        <v>0</v>
      </c>
      <c r="O29" s="4">
        <f t="shared" si="15"/>
        <v>0</v>
      </c>
      <c r="P29" s="4">
        <f t="shared" si="5"/>
      </c>
      <c r="Q29" s="4">
        <f t="shared" si="16"/>
        <v>0</v>
      </c>
      <c r="R29" s="4">
        <f t="shared" si="6"/>
      </c>
      <c r="S29" s="4">
        <f t="shared" si="17"/>
        <v>0</v>
      </c>
      <c r="T29" s="4">
        <f t="shared" si="18"/>
        <v>1</v>
      </c>
      <c r="U29" s="5">
        <f t="shared" si="7"/>
        <v>15</v>
      </c>
      <c r="V29" s="5">
        <f t="shared" si="8"/>
        <v>15</v>
      </c>
      <c r="X29" s="5">
        <f t="shared" si="26"/>
        <v>15</v>
      </c>
      <c r="Z29" s="5" t="s">
        <v>908</v>
      </c>
      <c r="AB29" s="5" t="s">
        <v>86</v>
      </c>
      <c r="AD29" s="6" t="s">
        <v>166</v>
      </c>
      <c r="AE29" s="4" t="s">
        <v>830</v>
      </c>
      <c r="AH29" s="4" t="b">
        <f t="shared" si="9"/>
        <v>1</v>
      </c>
      <c r="AI29" s="4" t="s">
        <v>27</v>
      </c>
      <c r="AO29" s="4">
        <f>COUNTIF(SpellbooksOwned!$D$2:$K$49,$A29)</f>
        <v>1</v>
      </c>
      <c r="AP29" s="4">
        <f>IF(ISBLANK(AI29),0,VLOOKUP(AI29,SpellbooksOwned!$A$1:$B$49,2,FALSE))</f>
        <v>1</v>
      </c>
      <c r="AQ29" s="4">
        <f>IF(ISBLANK(AJ29),0,VLOOKUP(AJ29,SpellbooksOwned!$A$1:$B$49,2,FALSE))</f>
        <v>0</v>
      </c>
      <c r="AR29" s="4">
        <f>IF(ISBLANK(AK29),0,VLOOKUP(AK29,SpellbooksOwned!$A$1:$B$49,2,FALSE))</f>
        <v>0</v>
      </c>
      <c r="AS29" s="4">
        <f>IF(ISBLANK(AL29),0,VLOOKUP(AL29,SpellbooksOwned!$A$1:$B$49,2,FALSE))</f>
        <v>0</v>
      </c>
      <c r="AT29" s="4">
        <f>IF(ISBLANK(AM29),0,VLOOKUP(AM29,SpellbooksOwned!$A$1:$B$49,2,FALSE))</f>
        <v>0</v>
      </c>
      <c r="AU29" s="4">
        <f>IF(ISBLANK(AN29),0,VLOOKUP(AN29,SpellbooksOwned!$A$1:$B$49,2,FALSE))</f>
        <v>0</v>
      </c>
      <c r="AV29" s="4">
        <f t="shared" si="20"/>
        <v>226</v>
      </c>
      <c r="AW29" s="26">
        <f t="shared" si="21"/>
        <v>100</v>
      </c>
      <c r="AX29" s="29">
        <f t="shared" si="10"/>
        <v>0.9985109323648599</v>
      </c>
      <c r="AY29" s="4" t="str">
        <f t="shared" si="22"/>
        <v>Useless</v>
      </c>
      <c r="AZ29" s="4"/>
    </row>
    <row r="30" spans="1:52" ht="12.75">
      <c r="A30" s="4" t="s">
        <v>363</v>
      </c>
      <c r="B30" s="4">
        <v>3</v>
      </c>
      <c r="C30" s="4" t="s">
        <v>361</v>
      </c>
      <c r="D30" s="4" t="s">
        <v>364</v>
      </c>
      <c r="F30" s="4">
        <f t="shared" si="0"/>
        <v>1</v>
      </c>
      <c r="G30" s="4">
        <f t="shared" si="1"/>
        <v>1</v>
      </c>
      <c r="H30" s="4">
        <f t="shared" si="2"/>
      </c>
      <c r="I30" s="4">
        <f t="shared" si="25"/>
        <v>11</v>
      </c>
      <c r="J30" s="4">
        <f t="shared" si="3"/>
        <v>0</v>
      </c>
      <c r="K30" s="4">
        <f t="shared" si="4"/>
        <v>0</v>
      </c>
      <c r="L30" s="4">
        <f t="shared" si="12"/>
      </c>
      <c r="M30" s="4">
        <f t="shared" si="13"/>
        <v>0</v>
      </c>
      <c r="N30" s="4">
        <f t="shared" si="14"/>
      </c>
      <c r="O30" s="4" t="str">
        <f t="shared" si="15"/>
        <v>Ice</v>
      </c>
      <c r="P30" s="4">
        <f t="shared" si="5"/>
        <v>0</v>
      </c>
      <c r="Q30" s="4">
        <f t="shared" si="16"/>
        <v>0</v>
      </c>
      <c r="R30" s="4">
        <f t="shared" si="6"/>
      </c>
      <c r="S30" s="4">
        <f t="shared" si="17"/>
        <v>0</v>
      </c>
      <c r="T30" s="4">
        <f t="shared" si="18"/>
        <v>1</v>
      </c>
      <c r="U30" s="5">
        <f t="shared" si="7"/>
        <v>15</v>
      </c>
      <c r="V30" s="5">
        <f t="shared" si="8"/>
        <v>15</v>
      </c>
      <c r="W30" s="5">
        <v>100</v>
      </c>
      <c r="X30" s="5">
        <f t="shared" si="26"/>
        <v>15</v>
      </c>
      <c r="Y30" s="6">
        <f>3*((16+1)/2)/3+6</f>
        <v>14.5</v>
      </c>
      <c r="Z30" s="5" t="s">
        <v>59</v>
      </c>
      <c r="AB30" s="5">
        <f>MIN(23,(5+2*(INT(X30+1/2))/2))</f>
        <v>20</v>
      </c>
      <c r="AD30" s="6" t="s">
        <v>927</v>
      </c>
      <c r="AE30" s="4" t="s">
        <v>710</v>
      </c>
      <c r="AH30" s="4" t="b">
        <f t="shared" si="9"/>
        <v>1</v>
      </c>
      <c r="AI30" s="4" t="s">
        <v>1009</v>
      </c>
      <c r="AJ30" s="4" t="s">
        <v>1012</v>
      </c>
      <c r="AK30" s="4" t="s">
        <v>583</v>
      </c>
      <c r="AL30" s="4" t="s">
        <v>1018</v>
      </c>
      <c r="AO30" s="4">
        <f>COUNTIF(SpellbooksOwned!$D$2:$K$49,$A30)</f>
        <v>4</v>
      </c>
      <c r="AP30" s="4">
        <f>IF(ISBLANK(AI30),0,VLOOKUP(AI30,SpellbooksOwned!$A$1:$B$49,2,FALSE))</f>
        <v>1</v>
      </c>
      <c r="AQ30" s="4">
        <f>IF(ISBLANK(AJ30),0,VLOOKUP(AJ30,SpellbooksOwned!$A$1:$B$49,2,FALSE))</f>
        <v>1</v>
      </c>
      <c r="AR30" s="4">
        <f>IF(ISBLANK(AK30),0,VLOOKUP(AK30,SpellbooksOwned!$A$1:$B$49,2,FALSE))</f>
        <v>0</v>
      </c>
      <c r="AS30" s="4">
        <f>IF(ISBLANK(AL30),0,VLOOKUP(AL30,SpellbooksOwned!$A$1:$B$49,2,FALSE))</f>
        <v>0</v>
      </c>
      <c r="AT30" s="4">
        <f>IF(ISBLANK(AM30),0,VLOOKUP(AM30,SpellbooksOwned!$A$1:$B$49,2,FALSE))</f>
        <v>0</v>
      </c>
      <c r="AU30" s="4">
        <f>IF(ISBLANK(AN30),0,VLOOKUP(AN30,SpellbooksOwned!$A$1:$B$49,2,FALSE))</f>
        <v>0</v>
      </c>
      <c r="AV30" s="4">
        <f t="shared" si="20"/>
        <v>1</v>
      </c>
      <c r="AW30" s="26">
        <f t="shared" si="21"/>
        <v>28</v>
      </c>
      <c r="AX30" s="29">
        <f t="shared" si="10"/>
        <v>0.08850805170850018</v>
      </c>
      <c r="AY30" s="4" t="str">
        <f t="shared" si="22"/>
        <v>Very Good</v>
      </c>
      <c r="AZ30" s="4"/>
    </row>
    <row r="31" spans="1:52" ht="12.75">
      <c r="A31" s="4" t="s">
        <v>390</v>
      </c>
      <c r="B31" s="4">
        <v>6</v>
      </c>
      <c r="C31" s="4" t="s">
        <v>359</v>
      </c>
      <c r="D31" s="4" t="s">
        <v>391</v>
      </c>
      <c r="F31" s="4">
        <f t="shared" si="0"/>
        <v>1</v>
      </c>
      <c r="G31" s="4">
        <f t="shared" si="1"/>
        <v>1</v>
      </c>
      <c r="H31" s="4">
        <f t="shared" si="2"/>
      </c>
      <c r="I31" s="4">
        <f t="shared" si="25"/>
        <v>11</v>
      </c>
      <c r="J31" s="4">
        <f t="shared" si="3"/>
        <v>0</v>
      </c>
      <c r="K31" s="4">
        <f t="shared" si="4"/>
        <v>0</v>
      </c>
      <c r="L31" s="4">
        <f t="shared" si="12"/>
      </c>
      <c r="M31" s="4">
        <f t="shared" si="13"/>
        <v>0</v>
      </c>
      <c r="N31" s="4">
        <f t="shared" si="14"/>
      </c>
      <c r="O31" s="4">
        <f t="shared" si="15"/>
        <v>0</v>
      </c>
      <c r="P31" s="4">
        <f t="shared" si="5"/>
      </c>
      <c r="Q31" s="4">
        <f t="shared" si="16"/>
        <v>0</v>
      </c>
      <c r="R31" s="4">
        <f t="shared" si="6"/>
      </c>
      <c r="S31" s="4">
        <f t="shared" si="17"/>
        <v>0</v>
      </c>
      <c r="T31" s="4">
        <f t="shared" si="18"/>
        <v>1</v>
      </c>
      <c r="U31" s="5">
        <f t="shared" si="7"/>
        <v>15</v>
      </c>
      <c r="V31" s="5">
        <f t="shared" si="8"/>
        <v>15</v>
      </c>
      <c r="X31" s="5">
        <f t="shared" si="26"/>
        <v>15</v>
      </c>
      <c r="Z31" s="5" t="s">
        <v>64</v>
      </c>
      <c r="AB31" s="5">
        <f>MIN(50,10+INT((X31+1)/2))-0.5</f>
        <v>17.5</v>
      </c>
      <c r="AD31" s="6" t="s">
        <v>157</v>
      </c>
      <c r="AE31" s="4" t="s">
        <v>765</v>
      </c>
      <c r="AH31" s="4" t="b">
        <f t="shared" si="9"/>
        <v>0</v>
      </c>
      <c r="AI31" s="4" t="s">
        <v>25</v>
      </c>
      <c r="AJ31" s="4" t="s">
        <v>1020</v>
      </c>
      <c r="AO31" s="4">
        <f>COUNTIF(SpellbooksOwned!$D$2:$K$49,$A31)</f>
        <v>2</v>
      </c>
      <c r="AP31" s="4">
        <f>IF(ISBLANK(AI31),0,VLOOKUP(AI31,SpellbooksOwned!$A$1:$B$49,2,FALSE))</f>
        <v>0</v>
      </c>
      <c r="AQ31" s="4">
        <f>IF(ISBLANK(AJ31),0,VLOOKUP(AJ31,SpellbooksOwned!$A$1:$B$49,2,FALSE))</f>
        <v>0</v>
      </c>
      <c r="AR31" s="4">
        <f>IF(ISBLANK(AK31),0,VLOOKUP(AK31,SpellbooksOwned!$A$1:$B$49,2,FALSE))</f>
        <v>0</v>
      </c>
      <c r="AS31" s="4">
        <f>IF(ISBLANK(AL31),0,VLOOKUP(AL31,SpellbooksOwned!$A$1:$B$49,2,FALSE))</f>
        <v>0</v>
      </c>
      <c r="AT31" s="4">
        <f>IF(ISBLANK(AM31),0,VLOOKUP(AM31,SpellbooksOwned!$A$1:$B$49,2,FALSE))</f>
        <v>0</v>
      </c>
      <c r="AU31" s="4">
        <f>IF(ISBLANK(AN31),0,VLOOKUP(AN31,SpellbooksOwned!$A$1:$B$49,2,FALSE))</f>
        <v>0</v>
      </c>
      <c r="AV31" s="4">
        <f t="shared" si="20"/>
        <v>116</v>
      </c>
      <c r="AW31" s="26">
        <f t="shared" si="21"/>
        <v>100</v>
      </c>
      <c r="AX31" s="29">
        <f t="shared" si="10"/>
        <v>0.9985109323648599</v>
      </c>
      <c r="AY31" s="4" t="str">
        <f t="shared" si="22"/>
        <v>Useless</v>
      </c>
      <c r="AZ31" s="4"/>
    </row>
    <row r="32" spans="1:52" ht="12.75">
      <c r="A32" s="4" t="s">
        <v>394</v>
      </c>
      <c r="B32" s="4">
        <v>6</v>
      </c>
      <c r="C32" s="4" t="s">
        <v>359</v>
      </c>
      <c r="D32" s="4" t="s">
        <v>371</v>
      </c>
      <c r="F32" s="4">
        <f t="shared" si="0"/>
        <v>1</v>
      </c>
      <c r="G32" s="4">
        <f t="shared" si="1"/>
        <v>1</v>
      </c>
      <c r="H32" s="4">
        <f t="shared" si="2"/>
      </c>
      <c r="I32" s="4">
        <f t="shared" si="25"/>
        <v>11</v>
      </c>
      <c r="J32" s="4">
        <f t="shared" si="3"/>
        <v>0</v>
      </c>
      <c r="K32" s="4">
        <f t="shared" si="4"/>
        <v>0</v>
      </c>
      <c r="L32" s="4">
        <f t="shared" si="12"/>
      </c>
      <c r="M32" s="4">
        <f t="shared" si="13"/>
        <v>0</v>
      </c>
      <c r="N32" s="4">
        <f t="shared" si="14"/>
      </c>
      <c r="O32" s="4">
        <f t="shared" si="15"/>
        <v>0</v>
      </c>
      <c r="P32" s="4">
        <f t="shared" si="5"/>
      </c>
      <c r="Q32" s="4">
        <f t="shared" si="16"/>
        <v>0</v>
      </c>
      <c r="R32" s="4">
        <f t="shared" si="6"/>
      </c>
      <c r="S32" s="4">
        <f t="shared" si="17"/>
        <v>0</v>
      </c>
      <c r="T32" s="4">
        <f t="shared" si="18"/>
        <v>1</v>
      </c>
      <c r="U32" s="5">
        <f t="shared" si="7"/>
        <v>15</v>
      </c>
      <c r="V32" s="5">
        <f t="shared" si="8"/>
        <v>15</v>
      </c>
      <c r="X32" s="5">
        <f t="shared" si="26"/>
        <v>15</v>
      </c>
      <c r="Z32" s="5" t="s">
        <v>59</v>
      </c>
      <c r="AB32" s="5">
        <f>VLOOKUP(AG32,Enchantments!$E$8:$G$36,3,FALSE)</f>
        <v>25</v>
      </c>
      <c r="AC32" s="5">
        <f>X32</f>
        <v>15</v>
      </c>
      <c r="AD32" s="6" t="s">
        <v>317</v>
      </c>
      <c r="AE32" s="4" t="s">
        <v>812</v>
      </c>
      <c r="AG32" t="s">
        <v>321</v>
      </c>
      <c r="AH32" s="4" t="b">
        <f t="shared" si="9"/>
        <v>0</v>
      </c>
      <c r="AI32" s="4" t="s">
        <v>622</v>
      </c>
      <c r="AJ32" s="4" t="s">
        <v>1020</v>
      </c>
      <c r="AO32" s="4">
        <f>COUNTIF(SpellbooksOwned!$D$2:$K$49,$A32)</f>
        <v>2</v>
      </c>
      <c r="AP32" s="4">
        <f>IF(ISBLANK(AI32),0,VLOOKUP(AI32,SpellbooksOwned!$A$1:$B$49,2,FALSE))</f>
        <v>0</v>
      </c>
      <c r="AQ32" s="4">
        <f>IF(ISBLANK(AJ32),0,VLOOKUP(AJ32,SpellbooksOwned!$A$1:$B$49,2,FALSE))</f>
        <v>0</v>
      </c>
      <c r="AR32" s="4">
        <f>IF(ISBLANK(AK32),0,VLOOKUP(AK32,SpellbooksOwned!$A$1:$B$49,2,FALSE))</f>
        <v>0</v>
      </c>
      <c r="AS32" s="4">
        <f>IF(ISBLANK(AL32),0,VLOOKUP(AL32,SpellbooksOwned!$A$1:$B$49,2,FALSE))</f>
        <v>0</v>
      </c>
      <c r="AT32" s="4">
        <f>IF(ISBLANK(AM32),0,VLOOKUP(AM32,SpellbooksOwned!$A$1:$B$49,2,FALSE))</f>
        <v>0</v>
      </c>
      <c r="AU32" s="4">
        <f>IF(ISBLANK(AN32),0,VLOOKUP(AN32,SpellbooksOwned!$A$1:$B$49,2,FALSE))</f>
        <v>0</v>
      </c>
      <c r="AV32" s="4">
        <f t="shared" si="20"/>
        <v>116</v>
      </c>
      <c r="AW32" s="26">
        <f t="shared" si="21"/>
        <v>100</v>
      </c>
      <c r="AX32" s="29">
        <f t="shared" si="10"/>
        <v>0.9985109323648599</v>
      </c>
      <c r="AY32" s="4" t="str">
        <f t="shared" si="22"/>
        <v>Useless</v>
      </c>
      <c r="AZ32" s="4"/>
    </row>
    <row r="33" spans="1:52" ht="12.75">
      <c r="A33" s="4" t="s">
        <v>426</v>
      </c>
      <c r="B33" s="4">
        <v>4</v>
      </c>
      <c r="C33" s="4" t="s">
        <v>391</v>
      </c>
      <c r="F33" s="4">
        <f t="shared" si="0"/>
        <v>1</v>
      </c>
      <c r="G33" s="4">
        <f t="shared" si="1"/>
      </c>
      <c r="H33" s="4">
        <f t="shared" si="2"/>
      </c>
      <c r="I33" s="4">
        <f t="shared" si="25"/>
        <v>11</v>
      </c>
      <c r="J33" s="4">
        <f t="shared" si="3"/>
        <v>0</v>
      </c>
      <c r="K33" s="4">
        <f t="shared" si="4"/>
      </c>
      <c r="L33" s="4">
        <f t="shared" si="12"/>
      </c>
      <c r="M33" s="4">
        <f t="shared" si="13"/>
        <v>0</v>
      </c>
      <c r="N33" s="4">
        <f t="shared" si="14"/>
      </c>
      <c r="O33" s="4">
        <f t="shared" si="15"/>
        <v>0</v>
      </c>
      <c r="P33" s="4">
        <f t="shared" si="5"/>
      </c>
      <c r="Q33" s="4">
        <f t="shared" si="16"/>
        <v>0</v>
      </c>
      <c r="R33" s="4">
        <f t="shared" si="6"/>
      </c>
      <c r="S33" s="4">
        <f t="shared" si="17"/>
        <v>0</v>
      </c>
      <c r="T33" s="4">
        <f t="shared" si="18"/>
        <v>1</v>
      </c>
      <c r="U33" s="5">
        <f t="shared" si="7"/>
        <v>15</v>
      </c>
      <c r="V33" s="5">
        <f t="shared" si="8"/>
        <v>15</v>
      </c>
      <c r="X33" s="5">
        <f t="shared" si="26"/>
        <v>15</v>
      </c>
      <c r="Z33" s="5" t="s">
        <v>59</v>
      </c>
      <c r="AB33" s="5">
        <v>1</v>
      </c>
      <c r="AD33" s="6" t="s">
        <v>61</v>
      </c>
      <c r="AE33" s="4" t="s">
        <v>835</v>
      </c>
      <c r="AH33" s="4" t="b">
        <f t="shared" si="9"/>
        <v>0</v>
      </c>
      <c r="AI33" s="4" t="s">
        <v>28</v>
      </c>
      <c r="AO33" s="4">
        <f>COUNTIF(SpellbooksOwned!$D$2:$K$49,$A33)</f>
        <v>1</v>
      </c>
      <c r="AP33" s="4">
        <f>IF(ISBLANK(AI33),0,VLOOKUP(AI33,SpellbooksOwned!$A$1:$B$49,2,FALSE))</f>
        <v>0</v>
      </c>
      <c r="AQ33" s="4">
        <f>IF(ISBLANK(AJ33),0,VLOOKUP(AJ33,SpellbooksOwned!$A$1:$B$49,2,FALSE))</f>
        <v>0</v>
      </c>
      <c r="AR33" s="4">
        <f>IF(ISBLANK(AK33),0,VLOOKUP(AK33,SpellbooksOwned!$A$1:$B$49,2,FALSE))</f>
        <v>0</v>
      </c>
      <c r="AS33" s="4">
        <f>IF(ISBLANK(AL33),0,VLOOKUP(AL33,SpellbooksOwned!$A$1:$B$49,2,FALSE))</f>
        <v>0</v>
      </c>
      <c r="AT33" s="4">
        <f>IF(ISBLANK(AM33),0,VLOOKUP(AM33,SpellbooksOwned!$A$1:$B$49,2,FALSE))</f>
        <v>0</v>
      </c>
      <c r="AU33" s="4">
        <f>IF(ISBLANK(AN33),0,VLOOKUP(AN33,SpellbooksOwned!$A$1:$B$49,2,FALSE))</f>
        <v>0</v>
      </c>
      <c r="AV33" s="4">
        <f t="shared" si="20"/>
        <v>36</v>
      </c>
      <c r="AW33" s="26">
        <f t="shared" si="21"/>
        <v>41</v>
      </c>
      <c r="AX33" s="29">
        <f t="shared" si="10"/>
        <v>0.28433880816463963</v>
      </c>
      <c r="AY33" s="4" t="str">
        <f t="shared" si="22"/>
        <v>Fair</v>
      </c>
      <c r="AZ33" s="4"/>
    </row>
    <row r="34" spans="1:52" ht="12.75">
      <c r="A34" s="4" t="s">
        <v>386</v>
      </c>
      <c r="B34" s="4">
        <v>1</v>
      </c>
      <c r="C34" s="4" t="s">
        <v>359</v>
      </c>
      <c r="F34" s="4">
        <f aca="true" t="shared" si="27" ref="F34:F65">IF(ISBLANK(C34),"",VLOOKUP(C34,TblSkillLevels,2,FALSE))</f>
        <v>1</v>
      </c>
      <c r="G34" s="4">
        <f aca="true" t="shared" si="28" ref="G34:G65">IF(ISBLANK(D34),"",VLOOKUP(D34,TblSkillLevels,2,FALSE))</f>
      </c>
      <c r="H34" s="4">
        <f aca="true" t="shared" si="29" ref="H34:H65">IF(ISBLANK(E34),"",VLOOKUP(E34,TblSkillLevels,2,FALSE))</f>
      </c>
      <c r="I34" s="4">
        <f t="shared" si="25"/>
        <v>11</v>
      </c>
      <c r="J34" s="4">
        <f aca="true" t="shared" si="30" ref="J34:J65">IF(ISBLANK(C34),"",VLOOKUP(C34,TblSkillItems,2,FALSE))</f>
        <v>0</v>
      </c>
      <c r="K34" s="4">
        <f aca="true" t="shared" si="31" ref="K34:K65">IF(ISBLANK(D34),"",VLOOKUP(D34,TblSkillItems,2,FALSE))</f>
      </c>
      <c r="L34" s="4">
        <f t="shared" si="12"/>
      </c>
      <c r="M34" s="4">
        <f t="shared" si="13"/>
        <v>0</v>
      </c>
      <c r="N34" s="4">
        <f t="shared" si="14"/>
      </c>
      <c r="O34" s="4">
        <f t="shared" si="15"/>
        <v>0</v>
      </c>
      <c r="P34" s="4">
        <f aca="true" t="shared" si="32" ref="P34:P65">IF(O34=0,"",VLOOKUP(O34,TblSkillItems,2,FALSE))</f>
      </c>
      <c r="Q34" s="4">
        <f t="shared" si="16"/>
        <v>0</v>
      </c>
      <c r="R34" s="4">
        <f t="shared" si="6"/>
      </c>
      <c r="S34" s="4">
        <f t="shared" si="17"/>
        <v>0</v>
      </c>
      <c r="T34" s="4">
        <f t="shared" si="18"/>
        <v>1</v>
      </c>
      <c r="U34" s="5">
        <f aca="true" t="shared" si="33" ref="U34:U65">INT(INT(I34*T34)*Intelligence/10)</f>
        <v>15</v>
      </c>
      <c r="V34" s="5">
        <f aca="true" t="shared" si="34" ref="V34:V65">MIN(200,IF(U34&lt;=50,U34,IF(U34&lt;=150,INT(U34/2)+25,IF(U34&lt;=350,INT((U34-50)/4)+75,INT((INT((U34-50)/4)-75)/2)+150))))</f>
        <v>15</v>
      </c>
      <c r="X34" s="5">
        <f t="shared" si="26"/>
        <v>15</v>
      </c>
      <c r="Z34" s="5" t="s">
        <v>1000</v>
      </c>
      <c r="AB34" s="5">
        <f>VLOOKUP(AG34,Enchantments!$E$8:$G$36,3,FALSE)</f>
        <v>25</v>
      </c>
      <c r="AC34" s="5">
        <f>INT(X34*1.5)</f>
        <v>22</v>
      </c>
      <c r="AD34" s="6" t="s">
        <v>895</v>
      </c>
      <c r="AE34" s="4" t="s">
        <v>818</v>
      </c>
      <c r="AF34" s="4" t="s">
        <v>999</v>
      </c>
      <c r="AG34" t="s">
        <v>506</v>
      </c>
      <c r="AH34" s="4" t="b">
        <f aca="true" t="shared" si="35" ref="AH34:AH66">IF(AND((CharLevel&gt;=$B34),OR($AP34:$AU34)),TRUE,FALSE)</f>
        <v>1</v>
      </c>
      <c r="AI34" s="4" t="s">
        <v>626</v>
      </c>
      <c r="AO34" s="4">
        <f>COUNTIF(SpellbooksOwned!$D$2:$K$49,$A34)</f>
        <v>1</v>
      </c>
      <c r="AP34" s="4">
        <f>IF(ISBLANK(AI34),0,VLOOKUP(AI34,SpellbooksOwned!$A$1:$B$49,2,FALSE))</f>
        <v>1</v>
      </c>
      <c r="AQ34" s="4">
        <f>IF(ISBLANK(AJ34),0,VLOOKUP(AJ34,SpellbooksOwned!$A$1:$B$49,2,FALSE))</f>
        <v>0</v>
      </c>
      <c r="AR34" s="4">
        <f>IF(ISBLANK(AK34),0,VLOOKUP(AK34,SpellbooksOwned!$A$1:$B$49,2,FALSE))</f>
        <v>0</v>
      </c>
      <c r="AS34" s="4">
        <f>IF(ISBLANK(AL34),0,VLOOKUP(AL34,SpellbooksOwned!$A$1:$B$49,2,FALSE))</f>
        <v>0</v>
      </c>
      <c r="AT34" s="4">
        <f>IF(ISBLANK(AM34),0,VLOOKUP(AM34,SpellbooksOwned!$A$1:$B$49,2,FALSE))</f>
        <v>0</v>
      </c>
      <c r="AU34" s="4">
        <f>IF(ISBLANK(AN34),0,VLOOKUP(AN34,SpellbooksOwned!$A$1:$B$49,2,FALSE))</f>
        <v>0</v>
      </c>
      <c r="AV34" s="4">
        <f t="shared" si="20"/>
        <v>-31</v>
      </c>
      <c r="AW34" s="26">
        <f t="shared" si="21"/>
        <v>18</v>
      </c>
      <c r="AX34" s="29">
        <f aca="true" t="shared" si="36" ref="AX34:AX65">NORMDIST(AW34,50.5,100/6,TRUE)</f>
        <v>0.025587989795647026</v>
      </c>
      <c r="AY34" s="4" t="str">
        <f t="shared" si="22"/>
        <v>Great</v>
      </c>
      <c r="AZ34" s="4"/>
    </row>
    <row r="35" spans="1:52" ht="12.75">
      <c r="A35" s="4" t="s">
        <v>402</v>
      </c>
      <c r="B35" s="4">
        <v>2</v>
      </c>
      <c r="C35" s="4" t="s">
        <v>371</v>
      </c>
      <c r="F35" s="4">
        <f t="shared" si="27"/>
        <v>1</v>
      </c>
      <c r="G35" s="4">
        <f t="shared" si="28"/>
      </c>
      <c r="H35" s="4">
        <f t="shared" si="29"/>
      </c>
      <c r="I35" s="4">
        <f t="shared" si="25"/>
        <v>11</v>
      </c>
      <c r="J35" s="4">
        <f t="shared" si="30"/>
        <v>0</v>
      </c>
      <c r="K35" s="4">
        <f t="shared" si="31"/>
      </c>
      <c r="L35" s="4">
        <f t="shared" si="12"/>
      </c>
      <c r="M35" s="4">
        <f t="shared" si="13"/>
        <v>0</v>
      </c>
      <c r="N35" s="4">
        <f t="shared" si="14"/>
      </c>
      <c r="O35" s="4">
        <f t="shared" si="15"/>
        <v>0</v>
      </c>
      <c r="P35" s="4">
        <f t="shared" si="32"/>
      </c>
      <c r="Q35" s="4">
        <f t="shared" si="16"/>
        <v>0</v>
      </c>
      <c r="R35" s="4">
        <f t="shared" si="6"/>
      </c>
      <c r="S35" s="4">
        <f t="shared" si="17"/>
        <v>0</v>
      </c>
      <c r="T35" s="4">
        <f t="shared" si="18"/>
        <v>1</v>
      </c>
      <c r="U35" s="5">
        <f t="shared" si="33"/>
        <v>15</v>
      </c>
      <c r="V35" s="5">
        <f t="shared" si="34"/>
        <v>15</v>
      </c>
      <c r="X35" s="5">
        <f t="shared" si="26"/>
        <v>15</v>
      </c>
      <c r="Y35" s="6">
        <f>1+3*(12+1)/2/10</f>
        <v>2.95</v>
      </c>
      <c r="Z35" s="5" t="s">
        <v>59</v>
      </c>
      <c r="AB35" s="5">
        <f>IF(X35/2&gt;=50,4,IF(X35/2&gt;=35,3,IF(X35/2&gt;=20,2,1)))</f>
        <v>1</v>
      </c>
      <c r="AD35" s="6" t="s">
        <v>170</v>
      </c>
      <c r="AE35" s="4" t="s">
        <v>779</v>
      </c>
      <c r="AH35" s="4" t="b">
        <f t="shared" si="35"/>
        <v>0</v>
      </c>
      <c r="AI35" s="4" t="s">
        <v>609</v>
      </c>
      <c r="AO35" s="4">
        <f>COUNTIF(SpellbooksOwned!$D$2:$K$49,$A35)</f>
        <v>1</v>
      </c>
      <c r="AP35" s="4">
        <f>IF(ISBLANK(AI35),0,VLOOKUP(AI35,SpellbooksOwned!$A$1:$B$49,2,FALSE))</f>
        <v>0</v>
      </c>
      <c r="AQ35" s="4">
        <f>IF(ISBLANK(AJ35),0,VLOOKUP(AJ35,SpellbooksOwned!$A$1:$B$49,2,FALSE))</f>
        <v>0</v>
      </c>
      <c r="AR35" s="4">
        <f>IF(ISBLANK(AK35),0,VLOOKUP(AK35,SpellbooksOwned!$A$1:$B$49,2,FALSE))</f>
        <v>0</v>
      </c>
      <c r="AS35" s="4">
        <f>IF(ISBLANK(AL35),0,VLOOKUP(AL35,SpellbooksOwned!$A$1:$B$49,2,FALSE))</f>
        <v>0</v>
      </c>
      <c r="AT35" s="4">
        <f>IF(ISBLANK(AM35),0,VLOOKUP(AM35,SpellbooksOwned!$A$1:$B$49,2,FALSE))</f>
        <v>0</v>
      </c>
      <c r="AU35" s="4">
        <f>IF(ISBLANK(AN35),0,VLOOKUP(AN35,SpellbooksOwned!$A$1:$B$49,2,FALSE))</f>
        <v>0</v>
      </c>
      <c r="AV35" s="4">
        <f t="shared" si="20"/>
        <v>-19</v>
      </c>
      <c r="AW35" s="26">
        <f t="shared" si="21"/>
        <v>22</v>
      </c>
      <c r="AX35" s="29">
        <f t="shared" si="36"/>
        <v>0.043632902942498775</v>
      </c>
      <c r="AY35" s="4" t="str">
        <f t="shared" si="22"/>
        <v>Very Good</v>
      </c>
      <c r="AZ35" s="4"/>
    </row>
    <row r="36" spans="1:52" ht="12.75">
      <c r="A36" s="4" t="s">
        <v>50</v>
      </c>
      <c r="B36" s="4">
        <v>3</v>
      </c>
      <c r="C36" s="4" t="s">
        <v>589</v>
      </c>
      <c r="F36" s="4">
        <f t="shared" si="27"/>
        <v>6</v>
      </c>
      <c r="G36" s="4">
        <f t="shared" si="28"/>
      </c>
      <c r="H36" s="4">
        <f t="shared" si="29"/>
      </c>
      <c r="I36" s="4">
        <f t="shared" si="25"/>
        <v>21</v>
      </c>
      <c r="J36" s="4">
        <f t="shared" si="30"/>
        <v>0</v>
      </c>
      <c r="K36" s="4">
        <f t="shared" si="31"/>
      </c>
      <c r="L36" s="4">
        <f t="shared" si="12"/>
      </c>
      <c r="M36" s="4">
        <f t="shared" si="13"/>
        <v>0</v>
      </c>
      <c r="N36" s="4">
        <f t="shared" si="14"/>
      </c>
      <c r="O36" s="4">
        <f t="shared" si="15"/>
        <v>0</v>
      </c>
      <c r="P36" s="4">
        <f t="shared" si="32"/>
      </c>
      <c r="Q36" s="4">
        <f t="shared" si="16"/>
        <v>0</v>
      </c>
      <c r="R36" s="4">
        <f t="shared" si="6"/>
      </c>
      <c r="S36" s="4">
        <f t="shared" si="17"/>
        <v>0</v>
      </c>
      <c r="T36" s="4">
        <f t="shared" si="18"/>
        <v>1</v>
      </c>
      <c r="U36" s="5">
        <f t="shared" si="33"/>
        <v>29</v>
      </c>
      <c r="V36" s="5">
        <f t="shared" si="34"/>
        <v>29</v>
      </c>
      <c r="X36" s="5">
        <f t="shared" si="26"/>
        <v>29</v>
      </c>
      <c r="Z36" s="5" t="s">
        <v>64</v>
      </c>
      <c r="AB36" s="5">
        <v>1</v>
      </c>
      <c r="AC36" s="6">
        <f>-2-(X36+1)/2-1</f>
        <v>-18</v>
      </c>
      <c r="AD36" s="6" t="s">
        <v>87</v>
      </c>
      <c r="AE36" s="4" t="s">
        <v>802</v>
      </c>
      <c r="AH36" s="4" t="b">
        <f t="shared" si="35"/>
        <v>0</v>
      </c>
      <c r="AI36" s="4" t="s">
        <v>806</v>
      </c>
      <c r="AO36" s="4">
        <f>COUNTIF(SpellbooksOwned!$D$2:$K$49,$A36)</f>
        <v>1</v>
      </c>
      <c r="AP36" s="4">
        <f>IF(ISBLANK(AI36),0,VLOOKUP(AI36,SpellbooksOwned!$A$1:$B$49,2,FALSE))</f>
        <v>0</v>
      </c>
      <c r="AQ36" s="4">
        <f>IF(ISBLANK(AJ36),0,VLOOKUP(AJ36,SpellbooksOwned!$A$1:$B$49,2,FALSE))</f>
        <v>0</v>
      </c>
      <c r="AR36" s="4">
        <f>IF(ISBLANK(AK36),0,VLOOKUP(AK36,SpellbooksOwned!$A$1:$B$49,2,FALSE))</f>
        <v>0</v>
      </c>
      <c r="AS36" s="4">
        <f>IF(ISBLANK(AL36),0,VLOOKUP(AL36,SpellbooksOwned!$A$1:$B$49,2,FALSE))</f>
        <v>0</v>
      </c>
      <c r="AT36" s="4">
        <f>IF(ISBLANK(AM36),0,VLOOKUP(AM36,SpellbooksOwned!$A$1:$B$49,2,FALSE))</f>
        <v>0</v>
      </c>
      <c r="AU36" s="4">
        <f>IF(ISBLANK(AN36),0,VLOOKUP(AN36,SpellbooksOwned!$A$1:$B$49,2,FALSE))</f>
        <v>0</v>
      </c>
      <c r="AV36" s="4">
        <f t="shared" si="20"/>
        <v>-59</v>
      </c>
      <c r="AW36" s="26">
        <f t="shared" si="21"/>
        <v>14</v>
      </c>
      <c r="AX36" s="29">
        <f t="shared" si="36"/>
        <v>0.014262068074845646</v>
      </c>
      <c r="AY36" s="4" t="str">
        <f t="shared" si="22"/>
        <v>Great</v>
      </c>
      <c r="AZ36" s="4"/>
    </row>
    <row r="37" spans="1:52" ht="12.75">
      <c r="A37" s="4" t="s">
        <v>51</v>
      </c>
      <c r="B37" s="4">
        <v>2</v>
      </c>
      <c r="C37" s="4" t="s">
        <v>420</v>
      </c>
      <c r="F37" s="4">
        <f t="shared" si="27"/>
        <v>1</v>
      </c>
      <c r="G37" s="4">
        <f t="shared" si="28"/>
      </c>
      <c r="H37" s="4">
        <f t="shared" si="29"/>
      </c>
      <c r="I37" s="4">
        <f t="shared" si="25"/>
        <v>11</v>
      </c>
      <c r="J37" s="4">
        <f t="shared" si="30"/>
        <v>0</v>
      </c>
      <c r="K37" s="4">
        <f t="shared" si="31"/>
      </c>
      <c r="L37" s="4">
        <f t="shared" si="12"/>
      </c>
      <c r="M37" s="4">
        <f t="shared" si="13"/>
        <v>0</v>
      </c>
      <c r="N37" s="4">
        <f t="shared" si="14"/>
      </c>
      <c r="O37" s="4">
        <f t="shared" si="15"/>
        <v>0</v>
      </c>
      <c r="P37" s="4">
        <f t="shared" si="32"/>
      </c>
      <c r="Q37" s="4">
        <f t="shared" si="16"/>
        <v>0</v>
      </c>
      <c r="R37" s="4">
        <f t="shared" si="6"/>
      </c>
      <c r="S37" s="4">
        <f t="shared" si="17"/>
        <v>0</v>
      </c>
      <c r="T37" s="4">
        <f t="shared" si="18"/>
        <v>1</v>
      </c>
      <c r="U37" s="5">
        <f t="shared" si="33"/>
        <v>15</v>
      </c>
      <c r="V37" s="5">
        <f t="shared" si="34"/>
        <v>15</v>
      </c>
      <c r="X37" s="5">
        <f t="shared" si="26"/>
        <v>15</v>
      </c>
      <c r="Z37" s="5" t="s">
        <v>64</v>
      </c>
      <c r="AB37" s="5">
        <v>1</v>
      </c>
      <c r="AC37" s="6">
        <f>-2-(X37+1)/2-1</f>
        <v>-11</v>
      </c>
      <c r="AD37" s="6" t="s">
        <v>87</v>
      </c>
      <c r="AE37" s="4" t="s">
        <v>774</v>
      </c>
      <c r="AH37" s="4" t="b">
        <f t="shared" si="35"/>
        <v>1</v>
      </c>
      <c r="AI37" s="4" t="s">
        <v>608</v>
      </c>
      <c r="AO37" s="4">
        <f>COUNTIF(SpellbooksOwned!$D$2:$K$49,$A37)</f>
        <v>1</v>
      </c>
      <c r="AP37" s="4">
        <f>IF(ISBLANK(AI37),0,VLOOKUP(AI37,SpellbooksOwned!$A$1:$B$49,2,FALSE))</f>
        <v>1</v>
      </c>
      <c r="AQ37" s="4">
        <f>IF(ISBLANK(AJ37),0,VLOOKUP(AJ37,SpellbooksOwned!$A$1:$B$49,2,FALSE))</f>
        <v>0</v>
      </c>
      <c r="AR37" s="4">
        <f>IF(ISBLANK(AK37),0,VLOOKUP(AK37,SpellbooksOwned!$A$1:$B$49,2,FALSE))</f>
        <v>0</v>
      </c>
      <c r="AS37" s="4">
        <f>IF(ISBLANK(AL37),0,VLOOKUP(AL37,SpellbooksOwned!$A$1:$B$49,2,FALSE))</f>
        <v>0</v>
      </c>
      <c r="AT37" s="4">
        <f>IF(ISBLANK(AM37),0,VLOOKUP(AM37,SpellbooksOwned!$A$1:$B$49,2,FALSE))</f>
        <v>0</v>
      </c>
      <c r="AU37" s="4">
        <f>IF(ISBLANK(AN37),0,VLOOKUP(AN37,SpellbooksOwned!$A$1:$B$49,2,FALSE))</f>
        <v>0</v>
      </c>
      <c r="AV37" s="4">
        <f t="shared" si="20"/>
        <v>-19</v>
      </c>
      <c r="AW37" s="26">
        <f t="shared" si="21"/>
        <v>22</v>
      </c>
      <c r="AX37" s="29">
        <f t="shared" si="36"/>
        <v>0.043632902942498775</v>
      </c>
      <c r="AY37" s="4" t="str">
        <f t="shared" si="22"/>
        <v>Very Good</v>
      </c>
      <c r="AZ37" s="4"/>
    </row>
    <row r="38" spans="1:52" ht="12.75">
      <c r="A38" s="4" t="s">
        <v>409</v>
      </c>
      <c r="B38" s="4">
        <v>9</v>
      </c>
      <c r="C38" s="4" t="s">
        <v>371</v>
      </c>
      <c r="F38" s="4">
        <f t="shared" si="27"/>
        <v>1</v>
      </c>
      <c r="G38" s="4">
        <f t="shared" si="28"/>
      </c>
      <c r="H38" s="4">
        <f t="shared" si="29"/>
      </c>
      <c r="I38" s="4">
        <f t="shared" si="25"/>
        <v>11</v>
      </c>
      <c r="J38" s="4">
        <f t="shared" si="30"/>
        <v>0</v>
      </c>
      <c r="K38" s="4">
        <f t="shared" si="31"/>
      </c>
      <c r="L38" s="4">
        <f t="shared" si="12"/>
      </c>
      <c r="M38" s="4">
        <f t="shared" si="13"/>
        <v>0</v>
      </c>
      <c r="N38" s="4">
        <f t="shared" si="14"/>
      </c>
      <c r="O38" s="4">
        <f t="shared" si="15"/>
        <v>0</v>
      </c>
      <c r="P38" s="4">
        <f t="shared" si="32"/>
      </c>
      <c r="Q38" s="4">
        <f t="shared" si="16"/>
        <v>0</v>
      </c>
      <c r="R38" s="4">
        <f t="shared" si="6"/>
      </c>
      <c r="S38" s="4">
        <f t="shared" si="17"/>
        <v>0</v>
      </c>
      <c r="T38" s="4">
        <f t="shared" si="18"/>
        <v>1</v>
      </c>
      <c r="U38" s="5">
        <f t="shared" si="33"/>
        <v>15</v>
      </c>
      <c r="V38" s="5">
        <f t="shared" si="34"/>
        <v>15</v>
      </c>
      <c r="X38" s="5">
        <f t="shared" si="26"/>
        <v>15</v>
      </c>
      <c r="Z38" s="5" t="s">
        <v>59</v>
      </c>
      <c r="AB38" s="5">
        <f>MIN(100,15+(1+INT(X38)/3+1)/2)-0.5</f>
        <v>18</v>
      </c>
      <c r="AD38" s="6" t="s">
        <v>596</v>
      </c>
      <c r="AE38" s="4" t="s">
        <v>815</v>
      </c>
      <c r="AH38" s="4" t="b">
        <f t="shared" si="35"/>
        <v>0</v>
      </c>
      <c r="AI38" s="4" t="s">
        <v>622</v>
      </c>
      <c r="AO38" s="4">
        <f>COUNTIF(SpellbooksOwned!$D$2:$K$49,$A38)</f>
        <v>1</v>
      </c>
      <c r="AP38" s="4">
        <f>IF(ISBLANK(AI38),0,VLOOKUP(AI38,SpellbooksOwned!$A$1:$B$49,2,FALSE))</f>
        <v>0</v>
      </c>
      <c r="AQ38" s="4">
        <f>IF(ISBLANK(AJ38),0,VLOOKUP(AJ38,SpellbooksOwned!$A$1:$B$49,2,FALSE))</f>
        <v>0</v>
      </c>
      <c r="AR38" s="4">
        <f>IF(ISBLANK(AK38),0,VLOOKUP(AK38,SpellbooksOwned!$A$1:$B$49,2,FALSE))</f>
        <v>0</v>
      </c>
      <c r="AS38" s="4">
        <f>IF(ISBLANK(AL38),0,VLOOKUP(AL38,SpellbooksOwned!$A$1:$B$49,2,FALSE))</f>
        <v>0</v>
      </c>
      <c r="AT38" s="4">
        <f>IF(ISBLANK(AM38),0,VLOOKUP(AM38,SpellbooksOwned!$A$1:$B$49,2,FALSE))</f>
        <v>0</v>
      </c>
      <c r="AU38" s="4">
        <f>IF(ISBLANK(AN38),0,VLOOKUP(AN38,SpellbooksOwned!$A$1:$B$49,2,FALSE))</f>
        <v>0</v>
      </c>
      <c r="AV38" s="4">
        <f t="shared" si="20"/>
        <v>296</v>
      </c>
      <c r="AW38" s="26">
        <f t="shared" si="21"/>
        <v>100</v>
      </c>
      <c r="AX38" s="29">
        <f t="shared" si="36"/>
        <v>0.9985109323648599</v>
      </c>
      <c r="AY38" s="4" t="str">
        <f t="shared" si="22"/>
        <v>Useless</v>
      </c>
      <c r="AZ38" s="4"/>
    </row>
    <row r="39" spans="1:52" ht="12.75">
      <c r="A39" s="4" t="s">
        <v>395</v>
      </c>
      <c r="B39" s="4">
        <v>8</v>
      </c>
      <c r="C39" s="4" t="s">
        <v>359</v>
      </c>
      <c r="D39" s="4" t="s">
        <v>371</v>
      </c>
      <c r="F39" s="4">
        <f t="shared" si="27"/>
        <v>1</v>
      </c>
      <c r="G39" s="4">
        <f t="shared" si="28"/>
        <v>1</v>
      </c>
      <c r="H39" s="4">
        <f t="shared" si="29"/>
      </c>
      <c r="I39" s="4">
        <f t="shared" si="25"/>
        <v>11</v>
      </c>
      <c r="J39" s="4">
        <f t="shared" si="30"/>
        <v>0</v>
      </c>
      <c r="K39" s="4">
        <f t="shared" si="31"/>
        <v>0</v>
      </c>
      <c r="L39" s="4">
        <f t="shared" si="12"/>
      </c>
      <c r="M39" s="4">
        <f t="shared" si="13"/>
        <v>0</v>
      </c>
      <c r="N39" s="4">
        <f t="shared" si="14"/>
      </c>
      <c r="O39" s="4">
        <f t="shared" si="15"/>
        <v>0</v>
      </c>
      <c r="P39" s="4">
        <f t="shared" si="32"/>
      </c>
      <c r="Q39" s="4">
        <f t="shared" si="16"/>
        <v>0</v>
      </c>
      <c r="R39" s="4">
        <f t="shared" si="6"/>
      </c>
      <c r="S39" s="4">
        <f t="shared" si="17"/>
        <v>0</v>
      </c>
      <c r="T39" s="4">
        <f t="shared" si="18"/>
        <v>1</v>
      </c>
      <c r="U39" s="5">
        <f t="shared" si="33"/>
        <v>15</v>
      </c>
      <c r="V39" s="5">
        <f t="shared" si="34"/>
        <v>15</v>
      </c>
      <c r="X39" s="5">
        <f t="shared" si="26"/>
        <v>15</v>
      </c>
      <c r="Y39" s="4"/>
      <c r="Z39" s="5" t="s">
        <v>64</v>
      </c>
      <c r="AB39" s="5">
        <f>MIN(25,10+7+INT((X39+1)/20))-3</f>
        <v>14</v>
      </c>
      <c r="AC39" s="6">
        <f>INT(CharacterProperties!$B$13/2)</f>
        <v>0</v>
      </c>
      <c r="AD39" s="6" t="s">
        <v>338</v>
      </c>
      <c r="AE39" s="4" t="s">
        <v>813</v>
      </c>
      <c r="AH39" s="4" t="b">
        <f t="shared" si="35"/>
        <v>0</v>
      </c>
      <c r="AI39" s="4" t="s">
        <v>622</v>
      </c>
      <c r="AO39" s="4">
        <f>COUNTIF(SpellbooksOwned!$D$2:$K$49,$A39)</f>
        <v>1</v>
      </c>
      <c r="AP39" s="4">
        <f>IF(ISBLANK(AI39),0,VLOOKUP(AI39,SpellbooksOwned!$A$1:$B$49,2,FALSE))</f>
        <v>0</v>
      </c>
      <c r="AQ39" s="4">
        <f>IF(ISBLANK(AJ39),0,VLOOKUP(AJ39,SpellbooksOwned!$A$1:$B$49,2,FALSE))</f>
        <v>0</v>
      </c>
      <c r="AR39" s="4">
        <f>IF(ISBLANK(AK39),0,VLOOKUP(AK39,SpellbooksOwned!$A$1:$B$49,2,FALSE))</f>
        <v>0</v>
      </c>
      <c r="AS39" s="4">
        <f>IF(ISBLANK(AL39),0,VLOOKUP(AL39,SpellbooksOwned!$A$1:$B$49,2,FALSE))</f>
        <v>0</v>
      </c>
      <c r="AT39" s="4">
        <f>IF(ISBLANK(AM39),0,VLOOKUP(AM39,SpellbooksOwned!$A$1:$B$49,2,FALSE))</f>
        <v>0</v>
      </c>
      <c r="AU39" s="4">
        <f>IF(ISBLANK(AN39),0,VLOOKUP(AN39,SpellbooksOwned!$A$1:$B$49,2,FALSE))</f>
        <v>0</v>
      </c>
      <c r="AV39" s="4">
        <f t="shared" si="20"/>
        <v>226</v>
      </c>
      <c r="AW39" s="26">
        <f t="shared" si="21"/>
        <v>100</v>
      </c>
      <c r="AX39" s="29">
        <f t="shared" si="36"/>
        <v>0.9985109323648599</v>
      </c>
      <c r="AY39" s="4" t="str">
        <f t="shared" si="22"/>
        <v>Useless</v>
      </c>
      <c r="AZ39" s="4"/>
    </row>
    <row r="40" spans="1:52" ht="12.75">
      <c r="A40" s="4" t="s">
        <v>358</v>
      </c>
      <c r="B40" s="4">
        <v>6</v>
      </c>
      <c r="C40" s="4" t="s">
        <v>374</v>
      </c>
      <c r="D40" s="4" t="s">
        <v>359</v>
      </c>
      <c r="F40" s="4">
        <f t="shared" si="27"/>
        <v>1</v>
      </c>
      <c r="G40" s="4">
        <f t="shared" si="28"/>
        <v>1</v>
      </c>
      <c r="H40" s="4">
        <f t="shared" si="29"/>
      </c>
      <c r="I40" s="4">
        <f t="shared" si="25"/>
        <v>11</v>
      </c>
      <c r="J40" s="4">
        <f t="shared" si="30"/>
        <v>0</v>
      </c>
      <c r="K40" s="4">
        <f t="shared" si="31"/>
        <v>0</v>
      </c>
      <c r="L40" s="4">
        <f t="shared" si="12"/>
      </c>
      <c r="M40" s="4" t="str">
        <f t="shared" si="13"/>
        <v>Earth</v>
      </c>
      <c r="N40" s="4">
        <f t="shared" si="14"/>
        <v>0</v>
      </c>
      <c r="O40" s="4">
        <f t="shared" si="15"/>
        <v>0</v>
      </c>
      <c r="P40" s="4">
        <f t="shared" si="32"/>
      </c>
      <c r="Q40" s="4">
        <f t="shared" si="16"/>
        <v>0</v>
      </c>
      <c r="R40" s="4">
        <f t="shared" si="6"/>
      </c>
      <c r="S40" s="4">
        <f t="shared" si="17"/>
        <v>0</v>
      </c>
      <c r="T40" s="4">
        <f t="shared" si="18"/>
        <v>1</v>
      </c>
      <c r="U40" s="5">
        <f t="shared" si="33"/>
        <v>15</v>
      </c>
      <c r="V40" s="5">
        <f t="shared" si="34"/>
        <v>15</v>
      </c>
      <c r="X40" s="5">
        <f t="shared" si="26"/>
        <v>15</v>
      </c>
      <c r="Z40" s="5" t="s">
        <v>64</v>
      </c>
      <c r="AB40" s="5">
        <f>MIN(100,15+INT((X40+1)/2))</f>
        <v>23</v>
      </c>
      <c r="AD40" s="6" t="s">
        <v>339</v>
      </c>
      <c r="AE40" s="4" t="s">
        <v>771</v>
      </c>
      <c r="AH40" s="4" t="b">
        <f t="shared" si="35"/>
        <v>1</v>
      </c>
      <c r="AI40" s="4" t="s">
        <v>593</v>
      </c>
      <c r="AJ40" s="4" t="s">
        <v>27</v>
      </c>
      <c r="AO40" s="4">
        <f>COUNTIF(SpellbooksOwned!$D$2:$K$49,$A40)</f>
        <v>2</v>
      </c>
      <c r="AP40" s="4">
        <f>IF(ISBLANK(AI40),0,VLOOKUP(AI40,SpellbooksOwned!$A$1:$B$49,2,FALSE))</f>
        <v>0</v>
      </c>
      <c r="AQ40" s="4">
        <f>IF(ISBLANK(AJ40),0,VLOOKUP(AJ40,SpellbooksOwned!$A$1:$B$49,2,FALSE))</f>
        <v>1</v>
      </c>
      <c r="AR40" s="4">
        <f>IF(ISBLANK(AK40),0,VLOOKUP(AK40,SpellbooksOwned!$A$1:$B$49,2,FALSE))</f>
        <v>0</v>
      </c>
      <c r="AS40" s="4">
        <f>IF(ISBLANK(AL40),0,VLOOKUP(AL40,SpellbooksOwned!$A$1:$B$49,2,FALSE))</f>
        <v>0</v>
      </c>
      <c r="AT40" s="4">
        <f>IF(ISBLANK(AM40),0,VLOOKUP(AM40,SpellbooksOwned!$A$1:$B$49,2,FALSE))</f>
        <v>0</v>
      </c>
      <c r="AU40" s="4">
        <f>IF(ISBLANK(AN40),0,VLOOKUP(AN40,SpellbooksOwned!$A$1:$B$49,2,FALSE))</f>
        <v>0</v>
      </c>
      <c r="AV40" s="4">
        <f t="shared" si="20"/>
        <v>116</v>
      </c>
      <c r="AW40" s="26">
        <f t="shared" si="21"/>
        <v>100</v>
      </c>
      <c r="AX40" s="29">
        <f t="shared" si="36"/>
        <v>0.9985109323648599</v>
      </c>
      <c r="AY40" s="4" t="str">
        <f t="shared" si="22"/>
        <v>Useless</v>
      </c>
      <c r="AZ40" s="4"/>
    </row>
    <row r="41" spans="1:52" ht="12.75">
      <c r="A41" s="4" t="s">
        <v>920</v>
      </c>
      <c r="B41" s="4">
        <v>7</v>
      </c>
      <c r="C41" s="4" t="s">
        <v>361</v>
      </c>
      <c r="D41" s="4" t="s">
        <v>364</v>
      </c>
      <c r="F41" s="4">
        <f t="shared" si="27"/>
        <v>1</v>
      </c>
      <c r="G41" s="4">
        <f t="shared" si="28"/>
        <v>1</v>
      </c>
      <c r="H41" s="4">
        <f t="shared" si="29"/>
      </c>
      <c r="I41" s="4">
        <f t="shared" si="25"/>
        <v>11</v>
      </c>
      <c r="J41" s="4">
        <f t="shared" si="30"/>
        <v>0</v>
      </c>
      <c r="K41" s="4">
        <f t="shared" si="31"/>
        <v>0</v>
      </c>
      <c r="L41" s="4">
        <f t="shared" si="12"/>
      </c>
      <c r="M41" s="4">
        <f t="shared" si="13"/>
        <v>0</v>
      </c>
      <c r="N41" s="4">
        <f t="shared" si="14"/>
      </c>
      <c r="O41" s="4" t="str">
        <f t="shared" si="15"/>
        <v>Ice</v>
      </c>
      <c r="P41" s="4">
        <f t="shared" si="32"/>
        <v>0</v>
      </c>
      <c r="Q41" s="4">
        <f t="shared" si="16"/>
        <v>0</v>
      </c>
      <c r="R41" s="4">
        <f t="shared" si="6"/>
      </c>
      <c r="S41" s="4">
        <f t="shared" si="17"/>
        <v>0</v>
      </c>
      <c r="T41" s="4">
        <f t="shared" si="18"/>
        <v>1</v>
      </c>
      <c r="U41" s="5">
        <f t="shared" si="33"/>
        <v>15</v>
      </c>
      <c r="V41" s="5">
        <f t="shared" si="34"/>
        <v>15</v>
      </c>
      <c r="W41" s="5">
        <v>100</v>
      </c>
      <c r="X41" s="5">
        <f t="shared" si="26"/>
        <v>15</v>
      </c>
      <c r="Y41" s="6">
        <f>(3*INT((10+INT(X41/2))/3)+1)/2</f>
        <v>8</v>
      </c>
      <c r="Z41" s="5" t="s">
        <v>933</v>
      </c>
      <c r="AA41" s="5">
        <v>40</v>
      </c>
      <c r="AB41" s="5">
        <v>1</v>
      </c>
      <c r="AD41" s="6" t="s">
        <v>597</v>
      </c>
      <c r="AE41" s="4" t="s">
        <v>751</v>
      </c>
      <c r="AH41" s="4" t="b">
        <f t="shared" si="35"/>
        <v>0</v>
      </c>
      <c r="AI41" s="4" t="s">
        <v>364</v>
      </c>
      <c r="AO41" s="4">
        <f>COUNTIF(SpellbooksOwned!$D$2:$K$49,$A41)</f>
        <v>1</v>
      </c>
      <c r="AP41" s="4">
        <f>IF(ISBLANK(AI41),0,VLOOKUP(AI41,SpellbooksOwned!$A$1:$B$49,2,FALSE))</f>
        <v>0</v>
      </c>
      <c r="AQ41" s="4">
        <f>IF(ISBLANK(AJ41),0,VLOOKUP(AJ41,SpellbooksOwned!$A$1:$B$49,2,FALSE))</f>
        <v>0</v>
      </c>
      <c r="AR41" s="4">
        <f>IF(ISBLANK(AK41),0,VLOOKUP(AK41,SpellbooksOwned!$A$1:$B$49,2,FALSE))</f>
        <v>0</v>
      </c>
      <c r="AS41" s="4">
        <f>IF(ISBLANK(AL41),0,VLOOKUP(AL41,SpellbooksOwned!$A$1:$B$49,2,FALSE))</f>
        <v>0</v>
      </c>
      <c r="AT41" s="4">
        <f>IF(ISBLANK(AM41),0,VLOOKUP(AM41,SpellbooksOwned!$A$1:$B$49,2,FALSE))</f>
        <v>0</v>
      </c>
      <c r="AU41" s="4">
        <f>IF(ISBLANK(AN41),0,VLOOKUP(AN41,SpellbooksOwned!$A$1:$B$49,2,FALSE))</f>
        <v>0</v>
      </c>
      <c r="AV41" s="4">
        <f t="shared" si="20"/>
        <v>166</v>
      </c>
      <c r="AW41" s="26">
        <f t="shared" si="21"/>
        <v>100</v>
      </c>
      <c r="AX41" s="29">
        <f t="shared" si="36"/>
        <v>0.9985109323648599</v>
      </c>
      <c r="AY41" s="4" t="str">
        <f t="shared" si="22"/>
        <v>Useless</v>
      </c>
      <c r="AZ41" s="4"/>
    </row>
    <row r="42" spans="1:52" ht="12.75">
      <c r="A42" s="4" t="s">
        <v>417</v>
      </c>
      <c r="B42" s="4">
        <v>6</v>
      </c>
      <c r="C42" s="4" t="s">
        <v>477</v>
      </c>
      <c r="F42" s="4">
        <f t="shared" si="27"/>
        <v>1</v>
      </c>
      <c r="G42" s="4">
        <f t="shared" si="28"/>
      </c>
      <c r="H42" s="4">
        <f t="shared" si="29"/>
      </c>
      <c r="I42" s="4">
        <f t="shared" si="25"/>
        <v>11</v>
      </c>
      <c r="J42" s="4">
        <f t="shared" si="30"/>
        <v>0</v>
      </c>
      <c r="K42" s="4">
        <f t="shared" si="31"/>
      </c>
      <c r="L42" s="4">
        <f t="shared" si="12"/>
      </c>
      <c r="M42" s="4">
        <f t="shared" si="13"/>
        <v>0</v>
      </c>
      <c r="N42" s="4">
        <f t="shared" si="14"/>
      </c>
      <c r="O42" s="4">
        <f t="shared" si="15"/>
        <v>0</v>
      </c>
      <c r="P42" s="4">
        <f t="shared" si="32"/>
      </c>
      <c r="Q42" s="4">
        <f t="shared" si="16"/>
        <v>0</v>
      </c>
      <c r="R42" s="4">
        <f t="shared" si="6"/>
      </c>
      <c r="S42" s="4">
        <f t="shared" si="17"/>
        <v>0</v>
      </c>
      <c r="T42" s="4">
        <f t="shared" si="18"/>
        <v>1</v>
      </c>
      <c r="U42" s="5">
        <f t="shared" si="33"/>
        <v>15</v>
      </c>
      <c r="V42" s="5">
        <f t="shared" si="34"/>
        <v>15</v>
      </c>
      <c r="X42" s="5">
        <f t="shared" si="26"/>
        <v>15</v>
      </c>
      <c r="Z42" s="5" t="s">
        <v>908</v>
      </c>
      <c r="AB42" s="5">
        <f>VLOOKUP(AG42,Enchantments!$E$8:$G$36,3,FALSE)</f>
        <v>40</v>
      </c>
      <c r="AC42" s="5">
        <f>MIN(1,4*2/X42)</f>
        <v>0.5333333333333333</v>
      </c>
      <c r="AD42" s="6" t="s">
        <v>537</v>
      </c>
      <c r="AE42" s="4" t="s">
        <v>824</v>
      </c>
      <c r="AG42" s="5" t="str">
        <f>CONCATENATE("ENCH_ABJ_",TEXT(MIN(6,2+INT(($X42+1)/2/4)),"0"))</f>
        <v>ENCH_ABJ_4</v>
      </c>
      <c r="AH42" s="4" t="b">
        <f t="shared" si="35"/>
        <v>0</v>
      </c>
      <c r="AI42" s="4" t="s">
        <v>631</v>
      </c>
      <c r="AO42" s="4">
        <f>COUNTIF(SpellbooksOwned!$D$2:$K$49,$A42)</f>
        <v>1</v>
      </c>
      <c r="AP42" s="4">
        <f>IF(ISBLANK(AI42),0,VLOOKUP(AI42,SpellbooksOwned!$A$1:$B$49,2,FALSE))</f>
        <v>0</v>
      </c>
      <c r="AQ42" s="4">
        <f>IF(ISBLANK(AJ42),0,VLOOKUP(AJ42,SpellbooksOwned!$A$1:$B$49,2,FALSE))</f>
        <v>0</v>
      </c>
      <c r="AR42" s="4">
        <f>IF(ISBLANK(AK42),0,VLOOKUP(AK42,SpellbooksOwned!$A$1:$B$49,2,FALSE))</f>
        <v>0</v>
      </c>
      <c r="AS42" s="4">
        <f>IF(ISBLANK(AL42),0,VLOOKUP(AL42,SpellbooksOwned!$A$1:$B$49,2,FALSE))</f>
        <v>0</v>
      </c>
      <c r="AT42" s="4">
        <f>IF(ISBLANK(AM42),0,VLOOKUP(AM42,SpellbooksOwned!$A$1:$B$49,2,FALSE))</f>
        <v>0</v>
      </c>
      <c r="AU42" s="4">
        <f>IF(ISBLANK(AN42),0,VLOOKUP(AN42,SpellbooksOwned!$A$1:$B$49,2,FALSE))</f>
        <v>0</v>
      </c>
      <c r="AV42" s="4">
        <f t="shared" si="20"/>
        <v>116</v>
      </c>
      <c r="AW42" s="26">
        <f t="shared" si="21"/>
        <v>100</v>
      </c>
      <c r="AX42" s="29">
        <f t="shared" si="36"/>
        <v>0.9985109323648599</v>
      </c>
      <c r="AY42" s="4" t="str">
        <f t="shared" si="22"/>
        <v>Useless</v>
      </c>
      <c r="AZ42" s="4"/>
    </row>
    <row r="43" spans="1:52" ht="12.75">
      <c r="A43" s="4" t="s">
        <v>377</v>
      </c>
      <c r="B43" s="4">
        <v>2</v>
      </c>
      <c r="C43" s="4" t="s">
        <v>458</v>
      </c>
      <c r="F43" s="4">
        <f t="shared" si="27"/>
        <v>1</v>
      </c>
      <c r="G43" s="4">
        <f t="shared" si="28"/>
      </c>
      <c r="H43" s="4">
        <f t="shared" si="29"/>
      </c>
      <c r="I43" s="4">
        <f t="shared" si="25"/>
        <v>11</v>
      </c>
      <c r="J43" s="4">
        <f t="shared" si="30"/>
        <v>0</v>
      </c>
      <c r="K43" s="4">
        <f t="shared" si="31"/>
      </c>
      <c r="L43" s="4">
        <f t="shared" si="12"/>
      </c>
      <c r="M43" s="4">
        <f t="shared" si="13"/>
        <v>0</v>
      </c>
      <c r="N43" s="4">
        <f t="shared" si="14"/>
      </c>
      <c r="O43" s="4">
        <f t="shared" si="15"/>
        <v>0</v>
      </c>
      <c r="P43" s="4">
        <f t="shared" si="32"/>
      </c>
      <c r="Q43" s="4">
        <f t="shared" si="16"/>
        <v>0</v>
      </c>
      <c r="R43" s="4">
        <f t="shared" si="6"/>
      </c>
      <c r="S43" s="4">
        <f t="shared" si="17"/>
        <v>0</v>
      </c>
      <c r="T43" s="4">
        <f t="shared" si="18"/>
        <v>1</v>
      </c>
      <c r="U43" s="5">
        <f t="shared" si="33"/>
        <v>15</v>
      </c>
      <c r="V43" s="5">
        <f t="shared" si="34"/>
        <v>15</v>
      </c>
      <c r="W43" s="5">
        <v>50</v>
      </c>
      <c r="X43" s="5">
        <f t="shared" si="26"/>
        <v>15</v>
      </c>
      <c r="Z43" s="5">
        <f>8+4+X43</f>
        <v>27</v>
      </c>
      <c r="AB43" s="5">
        <v>1</v>
      </c>
      <c r="AD43" s="6" t="s">
        <v>72</v>
      </c>
      <c r="AE43" s="4" t="s">
        <v>831</v>
      </c>
      <c r="AH43" s="4" t="b">
        <f t="shared" si="35"/>
        <v>1</v>
      </c>
      <c r="AI43" s="4" t="s">
        <v>639</v>
      </c>
      <c r="AJ43" s="4" t="s">
        <v>1021</v>
      </c>
      <c r="AK43" s="4" t="s">
        <v>1048</v>
      </c>
      <c r="AO43" s="4">
        <f>COUNTIF(SpellbooksOwned!$D$2:$K$49,$A43)</f>
        <v>3</v>
      </c>
      <c r="AP43" s="4">
        <f>IF(ISBLANK(AI43),0,VLOOKUP(AI43,SpellbooksOwned!$A$1:$B$49,2,FALSE))</f>
        <v>1</v>
      </c>
      <c r="AQ43" s="4">
        <f>IF(ISBLANK(AJ43),0,VLOOKUP(AJ43,SpellbooksOwned!$A$1:$B$49,2,FALSE))</f>
        <v>1</v>
      </c>
      <c r="AR43" s="4">
        <f>IF(ISBLANK(AK43),0,VLOOKUP(AK43,SpellbooksOwned!$A$1:$B$49,2,FALSE))</f>
        <v>1</v>
      </c>
      <c r="AS43" s="4">
        <f>IF(ISBLANK(AL43),0,VLOOKUP(AL43,SpellbooksOwned!$A$1:$B$49,2,FALSE))</f>
        <v>0</v>
      </c>
      <c r="AT43" s="4">
        <f>IF(ISBLANK(AM43),0,VLOOKUP(AM43,SpellbooksOwned!$A$1:$B$49,2,FALSE))</f>
        <v>0</v>
      </c>
      <c r="AU43" s="4">
        <f>IF(ISBLANK(AN43),0,VLOOKUP(AN43,SpellbooksOwned!$A$1:$B$49,2,FALSE))</f>
        <v>0</v>
      </c>
      <c r="AV43" s="4">
        <f t="shared" si="20"/>
        <v>-19</v>
      </c>
      <c r="AW43" s="26">
        <f t="shared" si="21"/>
        <v>22</v>
      </c>
      <c r="AX43" s="29">
        <f t="shared" si="36"/>
        <v>0.043632902942498775</v>
      </c>
      <c r="AY43" s="4" t="str">
        <f t="shared" si="22"/>
        <v>Very Good</v>
      </c>
      <c r="AZ43" s="4"/>
    </row>
    <row r="44" spans="1:52" ht="12.75">
      <c r="A44" s="4" t="s">
        <v>380</v>
      </c>
      <c r="B44" s="4">
        <v>3</v>
      </c>
      <c r="C44" s="4" t="s">
        <v>458</v>
      </c>
      <c r="F44" s="4">
        <f t="shared" si="27"/>
        <v>1</v>
      </c>
      <c r="G44" s="4">
        <f t="shared" si="28"/>
      </c>
      <c r="H44" s="4">
        <f t="shared" si="29"/>
      </c>
      <c r="I44" s="4">
        <f t="shared" si="25"/>
        <v>11</v>
      </c>
      <c r="J44" s="4">
        <f t="shared" si="30"/>
        <v>0</v>
      </c>
      <c r="K44" s="4">
        <f t="shared" si="31"/>
      </c>
      <c r="L44" s="4">
        <f t="shared" si="12"/>
      </c>
      <c r="M44" s="4">
        <f t="shared" si="13"/>
        <v>0</v>
      </c>
      <c r="N44" s="4">
        <f t="shared" si="14"/>
      </c>
      <c r="O44" s="4">
        <f t="shared" si="15"/>
        <v>0</v>
      </c>
      <c r="P44" s="4">
        <f t="shared" si="32"/>
      </c>
      <c r="Q44" s="4">
        <f t="shared" si="16"/>
        <v>0</v>
      </c>
      <c r="R44" s="4">
        <f t="shared" si="6"/>
      </c>
      <c r="S44" s="4">
        <f t="shared" si="17"/>
        <v>0</v>
      </c>
      <c r="T44" s="4">
        <f t="shared" si="18"/>
        <v>1</v>
      </c>
      <c r="U44" s="5">
        <f t="shared" si="33"/>
        <v>15</v>
      </c>
      <c r="V44" s="5">
        <f t="shared" si="34"/>
        <v>15</v>
      </c>
      <c r="X44" s="5">
        <f t="shared" si="26"/>
        <v>15</v>
      </c>
      <c r="Z44" s="5" t="s">
        <v>341</v>
      </c>
      <c r="AB44" s="5" t="s">
        <v>158</v>
      </c>
      <c r="AD44" s="6" t="s">
        <v>342</v>
      </c>
      <c r="AE44" s="4" t="s">
        <v>798</v>
      </c>
      <c r="AH44" s="4" t="b">
        <f t="shared" si="35"/>
        <v>1</v>
      </c>
      <c r="AI44" s="4" t="s">
        <v>1017</v>
      </c>
      <c r="AJ44" s="4" t="s">
        <v>639</v>
      </c>
      <c r="AO44" s="4">
        <f>COUNTIF(SpellbooksOwned!$D$2:$K$49,$A44)</f>
        <v>2</v>
      </c>
      <c r="AP44" s="4">
        <f>IF(ISBLANK(AI44),0,VLOOKUP(AI44,SpellbooksOwned!$A$1:$B$49,2,FALSE))</f>
        <v>1</v>
      </c>
      <c r="AQ44" s="4">
        <f>IF(ISBLANK(AJ44),0,VLOOKUP(AJ44,SpellbooksOwned!$A$1:$B$49,2,FALSE))</f>
        <v>1</v>
      </c>
      <c r="AR44" s="4">
        <f>IF(ISBLANK(AK44),0,VLOOKUP(AK44,SpellbooksOwned!$A$1:$B$49,2,FALSE))</f>
        <v>0</v>
      </c>
      <c r="AS44" s="4">
        <f>IF(ISBLANK(AL44),0,VLOOKUP(AL44,SpellbooksOwned!$A$1:$B$49,2,FALSE))</f>
        <v>0</v>
      </c>
      <c r="AT44" s="4">
        <f>IF(ISBLANK(AM44),0,VLOOKUP(AM44,SpellbooksOwned!$A$1:$B$49,2,FALSE))</f>
        <v>0</v>
      </c>
      <c r="AU44" s="4">
        <f>IF(ISBLANK(AN44),0,VLOOKUP(AN44,SpellbooksOwned!$A$1:$B$49,2,FALSE))</f>
        <v>0</v>
      </c>
      <c r="AV44" s="4">
        <f t="shared" si="20"/>
        <v>1</v>
      </c>
      <c r="AW44" s="26">
        <f t="shared" si="21"/>
        <v>28</v>
      </c>
      <c r="AX44" s="29">
        <f t="shared" si="36"/>
        <v>0.08850805170850018</v>
      </c>
      <c r="AY44" s="4" t="str">
        <f t="shared" si="22"/>
        <v>Very Good</v>
      </c>
      <c r="AZ44" s="4"/>
    </row>
    <row r="45" spans="1:52" ht="12.75">
      <c r="A45" s="4" t="s">
        <v>378</v>
      </c>
      <c r="B45" s="4">
        <v>2</v>
      </c>
      <c r="C45" s="4" t="s">
        <v>458</v>
      </c>
      <c r="F45" s="4">
        <f t="shared" si="27"/>
        <v>1</v>
      </c>
      <c r="G45" s="4">
        <f t="shared" si="28"/>
      </c>
      <c r="H45" s="4">
        <f t="shared" si="29"/>
      </c>
      <c r="I45" s="4">
        <f t="shared" si="25"/>
        <v>11</v>
      </c>
      <c r="J45" s="4">
        <f t="shared" si="30"/>
        <v>0</v>
      </c>
      <c r="K45" s="4">
        <f t="shared" si="31"/>
      </c>
      <c r="L45" s="4">
        <f t="shared" si="12"/>
      </c>
      <c r="M45" s="4">
        <f t="shared" si="13"/>
        <v>0</v>
      </c>
      <c r="N45" s="4">
        <f t="shared" si="14"/>
      </c>
      <c r="O45" s="4">
        <f t="shared" si="15"/>
        <v>0</v>
      </c>
      <c r="P45" s="4">
        <f t="shared" si="32"/>
      </c>
      <c r="Q45" s="4">
        <f t="shared" si="16"/>
        <v>0</v>
      </c>
      <c r="R45" s="4">
        <f t="shared" si="6"/>
      </c>
      <c r="S45" s="4">
        <f t="shared" si="17"/>
        <v>0</v>
      </c>
      <c r="T45" s="4">
        <f t="shared" si="18"/>
        <v>1</v>
      </c>
      <c r="U45" s="5">
        <f t="shared" si="33"/>
        <v>15</v>
      </c>
      <c r="V45" s="5">
        <f t="shared" si="34"/>
        <v>15</v>
      </c>
      <c r="W45" s="5">
        <v>50</v>
      </c>
      <c r="X45" s="5">
        <f t="shared" si="26"/>
        <v>15</v>
      </c>
      <c r="Z45" s="5">
        <f>8+4+X45</f>
        <v>27</v>
      </c>
      <c r="AB45" s="5">
        <v>1</v>
      </c>
      <c r="AD45" s="6" t="s">
        <v>71</v>
      </c>
      <c r="AE45" s="4" t="s">
        <v>760</v>
      </c>
      <c r="AH45" s="4" t="b">
        <f t="shared" si="35"/>
        <v>1</v>
      </c>
      <c r="AI45" s="4" t="s">
        <v>591</v>
      </c>
      <c r="AJ45" s="4" t="s">
        <v>639</v>
      </c>
      <c r="AO45" s="4">
        <f>COUNTIF(SpellbooksOwned!$D$2:$K$49,$A45)</f>
        <v>2</v>
      </c>
      <c r="AP45" s="4">
        <f>IF(ISBLANK(AI45),0,VLOOKUP(AI45,SpellbooksOwned!$A$1:$B$49,2,FALSE))</f>
        <v>1</v>
      </c>
      <c r="AQ45" s="4">
        <f>IF(ISBLANK(AJ45),0,VLOOKUP(AJ45,SpellbooksOwned!$A$1:$B$49,2,FALSE))</f>
        <v>1</v>
      </c>
      <c r="AR45" s="4">
        <f>IF(ISBLANK(AK45),0,VLOOKUP(AK45,SpellbooksOwned!$A$1:$B$49,2,FALSE))</f>
        <v>0</v>
      </c>
      <c r="AS45" s="4">
        <f>IF(ISBLANK(AL45),0,VLOOKUP(AL45,SpellbooksOwned!$A$1:$B$49,2,FALSE))</f>
        <v>0</v>
      </c>
      <c r="AT45" s="4">
        <f>IF(ISBLANK(AM45),0,VLOOKUP(AM45,SpellbooksOwned!$A$1:$B$49,2,FALSE))</f>
        <v>0</v>
      </c>
      <c r="AU45" s="4">
        <f>IF(ISBLANK(AN45),0,VLOOKUP(AN45,SpellbooksOwned!$A$1:$B$49,2,FALSE))</f>
        <v>0</v>
      </c>
      <c r="AV45" s="4">
        <f t="shared" si="20"/>
        <v>-19</v>
      </c>
      <c r="AW45" s="26">
        <f t="shared" si="21"/>
        <v>22</v>
      </c>
      <c r="AX45" s="29">
        <f t="shared" si="36"/>
        <v>0.043632902942498775</v>
      </c>
      <c r="AY45" s="4" t="str">
        <f t="shared" si="22"/>
        <v>Very Good</v>
      </c>
      <c r="AZ45" s="4"/>
    </row>
    <row r="46" spans="1:52" ht="12.75">
      <c r="A46" s="4" t="s">
        <v>376</v>
      </c>
      <c r="B46" s="4">
        <v>1</v>
      </c>
      <c r="C46" s="4" t="s">
        <v>458</v>
      </c>
      <c r="F46" s="4">
        <f t="shared" si="27"/>
        <v>1</v>
      </c>
      <c r="G46" s="4">
        <f t="shared" si="28"/>
      </c>
      <c r="H46" s="4">
        <f t="shared" si="29"/>
      </c>
      <c r="I46" s="4">
        <f t="shared" si="25"/>
        <v>11</v>
      </c>
      <c r="J46" s="4">
        <f t="shared" si="30"/>
        <v>0</v>
      </c>
      <c r="K46" s="4">
        <f t="shared" si="31"/>
      </c>
      <c r="L46" s="4">
        <f t="shared" si="12"/>
      </c>
      <c r="M46" s="4">
        <f t="shared" si="13"/>
        <v>0</v>
      </c>
      <c r="N46" s="4">
        <f t="shared" si="14"/>
      </c>
      <c r="O46" s="4">
        <f t="shared" si="15"/>
        <v>0</v>
      </c>
      <c r="P46" s="4">
        <f t="shared" si="32"/>
      </c>
      <c r="Q46" s="4">
        <f t="shared" si="16"/>
        <v>0</v>
      </c>
      <c r="R46" s="4">
        <f t="shared" si="6"/>
      </c>
      <c r="S46" s="4">
        <f t="shared" si="17"/>
        <v>0</v>
      </c>
      <c r="T46" s="4">
        <f t="shared" si="18"/>
        <v>1</v>
      </c>
      <c r="U46" s="5">
        <f t="shared" si="33"/>
        <v>15</v>
      </c>
      <c r="V46" s="5">
        <f t="shared" si="34"/>
        <v>15</v>
      </c>
      <c r="X46" s="5">
        <f t="shared" si="26"/>
        <v>15</v>
      </c>
      <c r="Z46" s="5" t="s">
        <v>59</v>
      </c>
      <c r="AB46" s="5" t="s">
        <v>158</v>
      </c>
      <c r="AD46" s="6" t="s">
        <v>164</v>
      </c>
      <c r="AE46" s="4" t="s">
        <v>758</v>
      </c>
      <c r="AH46" s="4" t="b">
        <f t="shared" si="35"/>
        <v>1</v>
      </c>
      <c r="AI46" s="4" t="s">
        <v>591</v>
      </c>
      <c r="AJ46" s="4" t="s">
        <v>639</v>
      </c>
      <c r="AK46" s="4" t="s">
        <v>1022</v>
      </c>
      <c r="AO46" s="4">
        <f>COUNTIF(SpellbooksOwned!$D$2:$K$49,$A46)</f>
        <v>3</v>
      </c>
      <c r="AP46" s="4">
        <f>IF(ISBLANK(AI46),0,VLOOKUP(AI46,SpellbooksOwned!$A$1:$B$49,2,FALSE))</f>
        <v>1</v>
      </c>
      <c r="AQ46" s="4">
        <f>IF(ISBLANK(AJ46),0,VLOOKUP(AJ46,SpellbooksOwned!$A$1:$B$49,2,FALSE))</f>
        <v>1</v>
      </c>
      <c r="AR46" s="4">
        <f>IF(ISBLANK(AK46),0,VLOOKUP(AK46,SpellbooksOwned!$A$1:$B$49,2,FALSE))</f>
        <v>1</v>
      </c>
      <c r="AS46" s="4">
        <f>IF(ISBLANK(AL46),0,VLOOKUP(AL46,SpellbooksOwned!$A$1:$B$49,2,FALSE))</f>
        <v>0</v>
      </c>
      <c r="AT46" s="4">
        <f>IF(ISBLANK(AM46),0,VLOOKUP(AM46,SpellbooksOwned!$A$1:$B$49,2,FALSE))</f>
        <v>0</v>
      </c>
      <c r="AU46" s="4">
        <f>IF(ISBLANK(AN46),0,VLOOKUP(AN46,SpellbooksOwned!$A$1:$B$49,2,FALSE))</f>
        <v>0</v>
      </c>
      <c r="AV46" s="4">
        <f t="shared" si="20"/>
        <v>-31</v>
      </c>
      <c r="AW46" s="26">
        <f t="shared" si="21"/>
        <v>18</v>
      </c>
      <c r="AX46" s="29">
        <f t="shared" si="36"/>
        <v>0.025587989795647026</v>
      </c>
      <c r="AY46" s="4" t="str">
        <f t="shared" si="22"/>
        <v>Great</v>
      </c>
      <c r="AZ46" s="4"/>
    </row>
    <row r="47" spans="1:52" ht="12.75">
      <c r="A47" s="4" t="s">
        <v>379</v>
      </c>
      <c r="B47" s="4">
        <v>2</v>
      </c>
      <c r="C47" s="4" t="s">
        <v>458</v>
      </c>
      <c r="F47" s="4">
        <f t="shared" si="27"/>
        <v>1</v>
      </c>
      <c r="G47" s="4">
        <f t="shared" si="28"/>
      </c>
      <c r="H47" s="4">
        <f t="shared" si="29"/>
      </c>
      <c r="I47" s="4">
        <f t="shared" si="25"/>
        <v>11</v>
      </c>
      <c r="J47" s="4">
        <f t="shared" si="30"/>
        <v>0</v>
      </c>
      <c r="K47" s="4">
        <f t="shared" si="31"/>
      </c>
      <c r="L47" s="4">
        <f t="shared" si="12"/>
      </c>
      <c r="M47" s="4">
        <f t="shared" si="13"/>
        <v>0</v>
      </c>
      <c r="N47" s="4">
        <f t="shared" si="14"/>
      </c>
      <c r="O47" s="4">
        <f t="shared" si="15"/>
        <v>0</v>
      </c>
      <c r="P47" s="4">
        <f t="shared" si="32"/>
      </c>
      <c r="Q47" s="4">
        <f t="shared" si="16"/>
        <v>0</v>
      </c>
      <c r="R47" s="4">
        <f t="shared" si="6"/>
      </c>
      <c r="S47" s="4">
        <f t="shared" si="17"/>
        <v>0</v>
      </c>
      <c r="T47" s="4">
        <f t="shared" si="18"/>
        <v>1</v>
      </c>
      <c r="U47" s="5">
        <f t="shared" si="33"/>
        <v>15</v>
      </c>
      <c r="V47" s="5">
        <f t="shared" si="34"/>
        <v>15</v>
      </c>
      <c r="W47" s="5">
        <v>50</v>
      </c>
      <c r="X47" s="5">
        <f t="shared" si="26"/>
        <v>15</v>
      </c>
      <c r="Z47" s="5">
        <f>8+4+X47</f>
        <v>27</v>
      </c>
      <c r="AB47" s="5">
        <v>1</v>
      </c>
      <c r="AD47" s="6" t="s">
        <v>70</v>
      </c>
      <c r="AE47" s="4" t="s">
        <v>759</v>
      </c>
      <c r="AH47" s="4" t="b">
        <f t="shared" si="35"/>
        <v>1</v>
      </c>
      <c r="AI47" s="4" t="s">
        <v>591</v>
      </c>
      <c r="AO47" s="4">
        <f>COUNTIF(SpellbooksOwned!$D$2:$K$49,$A47)</f>
        <v>1</v>
      </c>
      <c r="AP47" s="4">
        <f>IF(ISBLANK(AI47),0,VLOOKUP(AI47,SpellbooksOwned!$A$1:$B$49,2,FALSE))</f>
        <v>1</v>
      </c>
      <c r="AQ47" s="4">
        <f>IF(ISBLANK(AJ47),0,VLOOKUP(AJ47,SpellbooksOwned!$A$1:$B$49,2,FALSE))</f>
        <v>0</v>
      </c>
      <c r="AR47" s="4">
        <f>IF(ISBLANK(AK47),0,VLOOKUP(AK47,SpellbooksOwned!$A$1:$B$49,2,FALSE))</f>
        <v>0</v>
      </c>
      <c r="AS47" s="4">
        <f>IF(ISBLANK(AL47),0,VLOOKUP(AL47,SpellbooksOwned!$A$1:$B$49,2,FALSE))</f>
        <v>0</v>
      </c>
      <c r="AT47" s="4">
        <f>IF(ISBLANK(AM47),0,VLOOKUP(AM47,SpellbooksOwned!$A$1:$B$49,2,FALSE))</f>
        <v>0</v>
      </c>
      <c r="AU47" s="4">
        <f>IF(ISBLANK(AN47),0,VLOOKUP(AN47,SpellbooksOwned!$A$1:$B$49,2,FALSE))</f>
        <v>0</v>
      </c>
      <c r="AV47" s="4">
        <f t="shared" si="20"/>
        <v>-19</v>
      </c>
      <c r="AW47" s="26">
        <f t="shared" si="21"/>
        <v>22</v>
      </c>
      <c r="AX47" s="29">
        <f t="shared" si="36"/>
        <v>0.043632902942498775</v>
      </c>
      <c r="AY47" s="4" t="str">
        <f t="shared" si="22"/>
        <v>Very Good</v>
      </c>
      <c r="AZ47" s="4"/>
    </row>
    <row r="48" spans="1:52" ht="12.75">
      <c r="A48" s="4" t="s">
        <v>382</v>
      </c>
      <c r="B48" s="4">
        <v>4</v>
      </c>
      <c r="C48" s="4" t="s">
        <v>373</v>
      </c>
      <c r="D48" s="4" t="s">
        <v>383</v>
      </c>
      <c r="F48" s="4">
        <f t="shared" si="27"/>
        <v>1</v>
      </c>
      <c r="G48" s="4">
        <f t="shared" si="28"/>
        <v>1</v>
      </c>
      <c r="H48" s="4">
        <f t="shared" si="29"/>
      </c>
      <c r="I48" s="4">
        <f t="shared" si="25"/>
        <v>11</v>
      </c>
      <c r="J48" s="4">
        <f t="shared" si="30"/>
        <v>0</v>
      </c>
      <c r="K48" s="4">
        <f t="shared" si="31"/>
        <v>0</v>
      </c>
      <c r="L48" s="4">
        <f t="shared" si="12"/>
      </c>
      <c r="M48" s="4" t="str">
        <f t="shared" si="13"/>
        <v>Air</v>
      </c>
      <c r="N48" s="4">
        <f t="shared" si="14"/>
        <v>0</v>
      </c>
      <c r="O48" s="4">
        <f t="shared" si="15"/>
        <v>0</v>
      </c>
      <c r="P48" s="4">
        <f t="shared" si="32"/>
      </c>
      <c r="Q48" s="4">
        <f t="shared" si="16"/>
        <v>0</v>
      </c>
      <c r="R48" s="4">
        <f t="shared" si="6"/>
      </c>
      <c r="S48" s="4">
        <f t="shared" si="17"/>
        <v>0</v>
      </c>
      <c r="T48" s="4">
        <f t="shared" si="18"/>
        <v>1</v>
      </c>
      <c r="U48" s="5">
        <f t="shared" si="33"/>
        <v>15</v>
      </c>
      <c r="V48" s="5">
        <f t="shared" si="34"/>
        <v>15</v>
      </c>
      <c r="X48" s="5">
        <f t="shared" si="26"/>
        <v>15</v>
      </c>
      <c r="Z48" s="5">
        <f>1+3+(INT(X48/5)+1)/2</f>
        <v>6</v>
      </c>
      <c r="AB48" s="5">
        <v>1</v>
      </c>
      <c r="AD48" s="6" t="s">
        <v>943</v>
      </c>
      <c r="AE48" s="4" t="s">
        <v>790</v>
      </c>
      <c r="AF48" s="4" t="s">
        <v>982</v>
      </c>
      <c r="AH48" s="4" t="b">
        <f t="shared" si="35"/>
        <v>1</v>
      </c>
      <c r="AI48" s="4" t="s">
        <v>611</v>
      </c>
      <c r="AJ48" s="4" t="s">
        <v>1017</v>
      </c>
      <c r="AK48" s="4" t="s">
        <v>37</v>
      </c>
      <c r="AO48" s="4">
        <f>COUNTIF(SpellbooksOwned!$D$2:$K$49,$A48)</f>
        <v>3</v>
      </c>
      <c r="AP48" s="4">
        <f>IF(ISBLANK(AI48),0,VLOOKUP(AI48,SpellbooksOwned!$A$1:$B$49,2,FALSE))</f>
        <v>1</v>
      </c>
      <c r="AQ48" s="4">
        <f>IF(ISBLANK(AJ48),0,VLOOKUP(AJ48,SpellbooksOwned!$A$1:$B$49,2,FALSE))</f>
        <v>1</v>
      </c>
      <c r="AR48" s="4">
        <f>IF(ISBLANK(AK48),0,VLOOKUP(AK48,SpellbooksOwned!$A$1:$B$49,2,FALSE))</f>
        <v>1</v>
      </c>
      <c r="AS48" s="4">
        <f>IF(ISBLANK(AL48),0,VLOOKUP(AL48,SpellbooksOwned!$A$1:$B$49,2,FALSE))</f>
        <v>0</v>
      </c>
      <c r="AT48" s="4">
        <f>IF(ISBLANK(AM48),0,VLOOKUP(AM48,SpellbooksOwned!$A$1:$B$49,2,FALSE))</f>
        <v>0</v>
      </c>
      <c r="AU48" s="4">
        <f>IF(ISBLANK(AN48),0,VLOOKUP(AN48,SpellbooksOwned!$A$1:$B$49,2,FALSE))</f>
        <v>0</v>
      </c>
      <c r="AV48" s="4">
        <f t="shared" si="20"/>
        <v>36</v>
      </c>
      <c r="AW48" s="26">
        <f t="shared" si="21"/>
        <v>41</v>
      </c>
      <c r="AX48" s="29">
        <f t="shared" si="36"/>
        <v>0.28433880816463963</v>
      </c>
      <c r="AY48" s="4" t="str">
        <f t="shared" si="22"/>
        <v>Fair</v>
      </c>
      <c r="AZ48" s="4"/>
    </row>
    <row r="49" spans="1:52" ht="12.75">
      <c r="A49" s="4" t="s">
        <v>1033</v>
      </c>
      <c r="B49" s="4">
        <v>6</v>
      </c>
      <c r="C49" s="4" t="s">
        <v>383</v>
      </c>
      <c r="F49" s="4">
        <f t="shared" si="27"/>
        <v>1</v>
      </c>
      <c r="G49" s="4">
        <f t="shared" si="28"/>
      </c>
      <c r="H49" s="4">
        <f t="shared" si="29"/>
      </c>
      <c r="I49" s="4">
        <f t="shared" si="25"/>
        <v>11</v>
      </c>
      <c r="J49" s="4">
        <f t="shared" si="30"/>
        <v>0</v>
      </c>
      <c r="K49" s="4">
        <f t="shared" si="31"/>
      </c>
      <c r="L49" s="4">
        <f t="shared" si="12"/>
      </c>
      <c r="M49" s="4">
        <f t="shared" si="13"/>
        <v>0</v>
      </c>
      <c r="N49" s="4">
        <f t="shared" si="14"/>
      </c>
      <c r="O49" s="4">
        <f t="shared" si="15"/>
        <v>0</v>
      </c>
      <c r="P49" s="4">
        <f t="shared" si="32"/>
      </c>
      <c r="Q49" s="4">
        <f t="shared" si="16"/>
        <v>0</v>
      </c>
      <c r="R49" s="4">
        <f t="shared" si="6"/>
      </c>
      <c r="S49" s="4">
        <f t="shared" si="17"/>
        <v>0</v>
      </c>
      <c r="T49" s="4">
        <f t="shared" si="18"/>
        <v>1</v>
      </c>
      <c r="U49" s="5">
        <f t="shared" si="33"/>
        <v>15</v>
      </c>
      <c r="V49" s="5">
        <f t="shared" si="34"/>
        <v>15</v>
      </c>
      <c r="W49" s="5">
        <v>200</v>
      </c>
      <c r="X49" s="5">
        <f t="shared" si="26"/>
        <v>15</v>
      </c>
      <c r="Y49" s="6">
        <f>(3*INT((15+INT(3*U49/4))/3)+1)/2</f>
        <v>12.5</v>
      </c>
      <c r="Z49" s="5" t="s">
        <v>932</v>
      </c>
      <c r="AB49" s="5">
        <v>1</v>
      </c>
      <c r="AC49" s="5">
        <f>INT(X49*3)</f>
        <v>45</v>
      </c>
      <c r="AD49" s="6" t="s">
        <v>598</v>
      </c>
      <c r="AE49" s="4" t="s">
        <v>945</v>
      </c>
      <c r="AF49" s="4" t="s">
        <v>971</v>
      </c>
      <c r="AH49" s="4" t="b">
        <f t="shared" si="35"/>
        <v>0</v>
      </c>
      <c r="AO49" s="4">
        <f>COUNTIF(SpellbooksOwned!$D$2:$K$49,$A49)</f>
        <v>0</v>
      </c>
      <c r="AP49" s="4">
        <f>IF(ISBLANK(AI49),0,VLOOKUP(AI49,SpellbooksOwned!$A$1:$B$49,2,FALSE))</f>
        <v>0</v>
      </c>
      <c r="AQ49" s="4">
        <f>IF(ISBLANK(AJ49),0,VLOOKUP(AJ49,SpellbooksOwned!$A$1:$B$49,2,FALSE))</f>
        <v>0</v>
      </c>
      <c r="AR49" s="4">
        <f>IF(ISBLANK(AK49),0,VLOOKUP(AK49,SpellbooksOwned!$A$1:$B$49,2,FALSE))</f>
        <v>0</v>
      </c>
      <c r="AS49" s="4">
        <f>IF(ISBLANK(AL49),0,VLOOKUP(AL49,SpellbooksOwned!$A$1:$B$49,2,FALSE))</f>
        <v>0</v>
      </c>
      <c r="AT49" s="4">
        <f>IF(ISBLANK(AM49),0,VLOOKUP(AM49,SpellbooksOwned!$A$1:$B$49,2,FALSE))</f>
        <v>0</v>
      </c>
      <c r="AU49" s="4">
        <f>IF(ISBLANK(AN49),0,VLOOKUP(AN49,SpellbooksOwned!$A$1:$B$49,2,FALSE))</f>
        <v>0</v>
      </c>
      <c r="AV49" s="4">
        <f t="shared" si="20"/>
        <v>116</v>
      </c>
      <c r="AW49" s="26">
        <f t="shared" si="21"/>
        <v>100</v>
      </c>
      <c r="AX49" s="29">
        <f t="shared" si="36"/>
        <v>0.9985109323648599</v>
      </c>
      <c r="AY49" s="4" t="str">
        <f t="shared" si="22"/>
        <v>Useless</v>
      </c>
      <c r="AZ49" s="4"/>
    </row>
    <row r="50" spans="1:52" ht="12.75">
      <c r="A50" s="4" t="s">
        <v>405</v>
      </c>
      <c r="B50" s="4">
        <v>4</v>
      </c>
      <c r="C50" s="4" t="s">
        <v>371</v>
      </c>
      <c r="F50" s="4">
        <f t="shared" si="27"/>
        <v>1</v>
      </c>
      <c r="G50" s="4">
        <f t="shared" si="28"/>
      </c>
      <c r="H50" s="4">
        <f t="shared" si="29"/>
      </c>
      <c r="I50" s="4">
        <f t="shared" si="25"/>
        <v>11</v>
      </c>
      <c r="J50" s="4">
        <f t="shared" si="30"/>
        <v>0</v>
      </c>
      <c r="K50" s="4">
        <f t="shared" si="31"/>
      </c>
      <c r="L50" s="4">
        <f t="shared" si="12"/>
      </c>
      <c r="M50" s="4">
        <f t="shared" si="13"/>
        <v>0</v>
      </c>
      <c r="N50" s="4">
        <f t="shared" si="14"/>
      </c>
      <c r="O50" s="4">
        <f t="shared" si="15"/>
        <v>0</v>
      </c>
      <c r="P50" s="4">
        <f t="shared" si="32"/>
      </c>
      <c r="Q50" s="4">
        <f t="shared" si="16"/>
        <v>0</v>
      </c>
      <c r="R50" s="4">
        <f t="shared" si="6"/>
      </c>
      <c r="S50" s="4">
        <f t="shared" si="17"/>
        <v>0</v>
      </c>
      <c r="T50" s="4">
        <f t="shared" si="18"/>
        <v>1</v>
      </c>
      <c r="U50" s="5">
        <f t="shared" si="33"/>
        <v>15</v>
      </c>
      <c r="V50" s="5">
        <f t="shared" si="34"/>
        <v>15</v>
      </c>
      <c r="W50" s="5">
        <v>100</v>
      </c>
      <c r="X50" s="5">
        <f t="shared" si="26"/>
        <v>15</v>
      </c>
      <c r="Y50" s="6">
        <f>3*(INT((20+INT(3*X50/4))/3)+1)/2</f>
        <v>16.5</v>
      </c>
      <c r="Z50" s="5" t="s">
        <v>932</v>
      </c>
      <c r="AB50" s="5">
        <v>1</v>
      </c>
      <c r="AD50" s="6" t="s">
        <v>892</v>
      </c>
      <c r="AE50" s="4" t="s">
        <v>809</v>
      </c>
      <c r="AF50" s="4" t="s">
        <v>964</v>
      </c>
      <c r="AH50" s="4" t="b">
        <f t="shared" si="35"/>
        <v>1</v>
      </c>
      <c r="AI50" s="4" t="s">
        <v>371</v>
      </c>
      <c r="AO50" s="4">
        <f>COUNTIF(SpellbooksOwned!$D$2:$K$49,$A50)</f>
        <v>1</v>
      </c>
      <c r="AP50" s="4">
        <f>IF(ISBLANK(AI50),0,VLOOKUP(AI50,SpellbooksOwned!$A$1:$B$49,2,FALSE))</f>
        <v>1</v>
      </c>
      <c r="AQ50" s="4">
        <f>IF(ISBLANK(AJ50),0,VLOOKUP(AJ50,SpellbooksOwned!$A$1:$B$49,2,FALSE))</f>
        <v>0</v>
      </c>
      <c r="AR50" s="4">
        <f>IF(ISBLANK(AK50),0,VLOOKUP(AK50,SpellbooksOwned!$A$1:$B$49,2,FALSE))</f>
        <v>0</v>
      </c>
      <c r="AS50" s="4">
        <f>IF(ISBLANK(AL50),0,VLOOKUP(AL50,SpellbooksOwned!$A$1:$B$49,2,FALSE))</f>
        <v>0</v>
      </c>
      <c r="AT50" s="4">
        <f>IF(ISBLANK(AM50),0,VLOOKUP(AM50,SpellbooksOwned!$A$1:$B$49,2,FALSE))</f>
        <v>0</v>
      </c>
      <c r="AU50" s="4">
        <f>IF(ISBLANK(AN50),0,VLOOKUP(AN50,SpellbooksOwned!$A$1:$B$49,2,FALSE))</f>
        <v>0</v>
      </c>
      <c r="AV50" s="4">
        <f t="shared" si="20"/>
        <v>36</v>
      </c>
      <c r="AW50" s="26">
        <f t="shared" si="21"/>
        <v>41</v>
      </c>
      <c r="AX50" s="29">
        <f t="shared" si="36"/>
        <v>0.28433880816463963</v>
      </c>
      <c r="AY50" s="4" t="str">
        <f t="shared" si="22"/>
        <v>Fair</v>
      </c>
      <c r="AZ50" s="4"/>
    </row>
    <row r="51" spans="1:52" ht="12.75">
      <c r="A51" s="4" t="s">
        <v>428</v>
      </c>
      <c r="B51" s="4">
        <v>7</v>
      </c>
      <c r="C51" s="4" t="s">
        <v>391</v>
      </c>
      <c r="F51" s="4">
        <f t="shared" si="27"/>
        <v>1</v>
      </c>
      <c r="G51" s="4">
        <f t="shared" si="28"/>
      </c>
      <c r="H51" s="4">
        <f t="shared" si="29"/>
      </c>
      <c r="I51" s="4">
        <f t="shared" si="25"/>
        <v>11</v>
      </c>
      <c r="J51" s="4">
        <f t="shared" si="30"/>
        <v>0</v>
      </c>
      <c r="K51" s="4">
        <f t="shared" si="31"/>
      </c>
      <c r="L51" s="4">
        <f t="shared" si="12"/>
      </c>
      <c r="M51" s="4">
        <f t="shared" si="13"/>
        <v>0</v>
      </c>
      <c r="N51" s="4">
        <f t="shared" si="14"/>
      </c>
      <c r="O51" s="4">
        <f t="shared" si="15"/>
        <v>0</v>
      </c>
      <c r="P51" s="4">
        <f t="shared" si="32"/>
      </c>
      <c r="Q51" s="4">
        <f t="shared" si="16"/>
        <v>0</v>
      </c>
      <c r="R51" s="4">
        <f t="shared" si="6"/>
      </c>
      <c r="S51" s="4">
        <f t="shared" si="17"/>
        <v>0</v>
      </c>
      <c r="T51" s="4">
        <f t="shared" si="18"/>
        <v>1</v>
      </c>
      <c r="U51" s="5">
        <f t="shared" si="33"/>
        <v>15</v>
      </c>
      <c r="V51" s="5">
        <f t="shared" si="34"/>
        <v>15</v>
      </c>
      <c r="X51" s="5">
        <f t="shared" si="26"/>
        <v>15</v>
      </c>
      <c r="Z51" s="5">
        <v>1</v>
      </c>
      <c r="AB51" s="5">
        <v>1</v>
      </c>
      <c r="AC51" s="5">
        <f>X51*1.5</f>
        <v>22.5</v>
      </c>
      <c r="AD51" s="6" t="s">
        <v>896</v>
      </c>
      <c r="AE51" s="4" t="s">
        <v>837</v>
      </c>
      <c r="AH51" s="4" t="b">
        <f t="shared" si="35"/>
        <v>0</v>
      </c>
      <c r="AI51" s="4" t="s">
        <v>28</v>
      </c>
      <c r="AO51" s="4">
        <f>COUNTIF(SpellbooksOwned!$D$2:$K$49,$A51)</f>
        <v>1</v>
      </c>
      <c r="AP51" s="4">
        <f>IF(ISBLANK(AI51),0,VLOOKUP(AI51,SpellbooksOwned!$A$1:$B$49,2,FALSE))</f>
        <v>0</v>
      </c>
      <c r="AQ51" s="4">
        <f>IF(ISBLANK(AJ51),0,VLOOKUP(AJ51,SpellbooksOwned!$A$1:$B$49,2,FALSE))</f>
        <v>0</v>
      </c>
      <c r="AR51" s="4">
        <f>IF(ISBLANK(AK51),0,VLOOKUP(AK51,SpellbooksOwned!$A$1:$B$49,2,FALSE))</f>
        <v>0</v>
      </c>
      <c r="AS51" s="4">
        <f>IF(ISBLANK(AL51),0,VLOOKUP(AL51,SpellbooksOwned!$A$1:$B$49,2,FALSE))</f>
        <v>0</v>
      </c>
      <c r="AT51" s="4">
        <f>IF(ISBLANK(AM51),0,VLOOKUP(AM51,SpellbooksOwned!$A$1:$B$49,2,FALSE))</f>
        <v>0</v>
      </c>
      <c r="AU51" s="4">
        <f>IF(ISBLANK(AN51),0,VLOOKUP(AN51,SpellbooksOwned!$A$1:$B$49,2,FALSE))</f>
        <v>0</v>
      </c>
      <c r="AV51" s="4">
        <f t="shared" si="20"/>
        <v>166</v>
      </c>
      <c r="AW51" s="26">
        <f t="shared" si="21"/>
        <v>100</v>
      </c>
      <c r="AX51" s="29">
        <f t="shared" si="36"/>
        <v>0.9985109323648599</v>
      </c>
      <c r="AY51" s="4" t="str">
        <f t="shared" si="22"/>
        <v>Useless</v>
      </c>
      <c r="AZ51" s="4"/>
    </row>
    <row r="52" spans="1:52" ht="12.75">
      <c r="A52" s="4" t="s">
        <v>397</v>
      </c>
      <c r="B52" s="4">
        <v>8</v>
      </c>
      <c r="C52" s="4" t="s">
        <v>364</v>
      </c>
      <c r="D52" s="4" t="s">
        <v>383</v>
      </c>
      <c r="F52" s="4">
        <f t="shared" si="27"/>
        <v>1</v>
      </c>
      <c r="G52" s="4">
        <f t="shared" si="28"/>
        <v>1</v>
      </c>
      <c r="H52" s="4">
        <f t="shared" si="29"/>
      </c>
      <c r="I52" s="4">
        <f t="shared" si="25"/>
        <v>11</v>
      </c>
      <c r="J52" s="4">
        <f t="shared" si="30"/>
        <v>0</v>
      </c>
      <c r="K52" s="4">
        <f t="shared" si="31"/>
        <v>0</v>
      </c>
      <c r="L52" s="4">
        <f t="shared" si="12"/>
      </c>
      <c r="M52" s="4" t="str">
        <f t="shared" si="13"/>
        <v>Ice</v>
      </c>
      <c r="N52" s="4">
        <f t="shared" si="14"/>
        <v>0</v>
      </c>
      <c r="O52" s="4">
        <f t="shared" si="15"/>
        <v>0</v>
      </c>
      <c r="P52" s="4">
        <f t="shared" si="32"/>
      </c>
      <c r="Q52" s="4">
        <f t="shared" si="16"/>
        <v>0</v>
      </c>
      <c r="R52" s="4">
        <f t="shared" si="6"/>
      </c>
      <c r="S52" s="4">
        <f t="shared" si="17"/>
        <v>0</v>
      </c>
      <c r="T52" s="4">
        <f t="shared" si="18"/>
        <v>1</v>
      </c>
      <c r="U52" s="5">
        <f t="shared" si="33"/>
        <v>15</v>
      </c>
      <c r="V52" s="5">
        <f t="shared" si="34"/>
        <v>15</v>
      </c>
      <c r="X52" s="5">
        <f t="shared" si="26"/>
        <v>15</v>
      </c>
      <c r="Z52" s="5" t="s">
        <v>64</v>
      </c>
      <c r="AB52" s="5">
        <f>MIN(100,20+2*(X52+1)/2)-1</f>
        <v>35</v>
      </c>
      <c r="AD52" s="6" t="s">
        <v>599</v>
      </c>
      <c r="AE52" s="4" t="s">
        <v>796</v>
      </c>
      <c r="AH52" s="4" t="b">
        <f t="shared" si="35"/>
        <v>1</v>
      </c>
      <c r="AI52" s="4" t="s">
        <v>1016</v>
      </c>
      <c r="AJ52" s="4" t="s">
        <v>1048</v>
      </c>
      <c r="AO52" s="4">
        <f>COUNTIF(SpellbooksOwned!$D$2:$K$49,$A52)</f>
        <v>2</v>
      </c>
      <c r="AP52" s="4">
        <f>IF(ISBLANK(AI52),0,VLOOKUP(AI52,SpellbooksOwned!$A$1:$B$49,2,FALSE))</f>
        <v>1</v>
      </c>
      <c r="AQ52" s="4">
        <f>IF(ISBLANK(AJ52),0,VLOOKUP(AJ52,SpellbooksOwned!$A$1:$B$49,2,FALSE))</f>
        <v>1</v>
      </c>
      <c r="AR52" s="4">
        <f>IF(ISBLANK(AK52),0,VLOOKUP(AK52,SpellbooksOwned!$A$1:$B$49,2,FALSE))</f>
        <v>0</v>
      </c>
      <c r="AS52" s="4">
        <f>IF(ISBLANK(AL52),0,VLOOKUP(AL52,SpellbooksOwned!$A$1:$B$49,2,FALSE))</f>
        <v>0</v>
      </c>
      <c r="AT52" s="4">
        <f>IF(ISBLANK(AM52),0,VLOOKUP(AM52,SpellbooksOwned!$A$1:$B$49,2,FALSE))</f>
        <v>0</v>
      </c>
      <c r="AU52" s="4">
        <f>IF(ISBLANK(AN52),0,VLOOKUP(AN52,SpellbooksOwned!$A$1:$B$49,2,FALSE))</f>
        <v>0</v>
      </c>
      <c r="AV52" s="4">
        <f t="shared" si="20"/>
        <v>226</v>
      </c>
      <c r="AW52" s="26">
        <f t="shared" si="21"/>
        <v>100</v>
      </c>
      <c r="AX52" s="29">
        <f t="shared" si="36"/>
        <v>0.9985109323648599</v>
      </c>
      <c r="AY52" s="4" t="str">
        <f t="shared" si="22"/>
        <v>Useless</v>
      </c>
      <c r="AZ52" s="4"/>
    </row>
    <row r="53" spans="1:52" ht="12.75">
      <c r="A53" s="4" t="s">
        <v>392</v>
      </c>
      <c r="B53" s="4">
        <v>4</v>
      </c>
      <c r="C53" s="4" t="s">
        <v>359</v>
      </c>
      <c r="F53" s="4">
        <f t="shared" si="27"/>
        <v>1</v>
      </c>
      <c r="G53" s="4">
        <f t="shared" si="28"/>
      </c>
      <c r="H53" s="4">
        <f t="shared" si="29"/>
      </c>
      <c r="I53" s="4">
        <f t="shared" si="25"/>
        <v>11</v>
      </c>
      <c r="J53" s="4">
        <f t="shared" si="30"/>
        <v>0</v>
      </c>
      <c r="K53" s="4">
        <f t="shared" si="31"/>
      </c>
      <c r="L53" s="4">
        <f t="shared" si="12"/>
      </c>
      <c r="M53" s="4">
        <f t="shared" si="13"/>
        <v>0</v>
      </c>
      <c r="N53" s="4">
        <f t="shared" si="14"/>
      </c>
      <c r="O53" s="4">
        <f t="shared" si="15"/>
        <v>0</v>
      </c>
      <c r="P53" s="4">
        <f t="shared" si="32"/>
      </c>
      <c r="Q53" s="4">
        <f t="shared" si="16"/>
        <v>0</v>
      </c>
      <c r="R53" s="4">
        <f t="shared" si="6"/>
      </c>
      <c r="S53" s="4">
        <f t="shared" si="17"/>
        <v>0</v>
      </c>
      <c r="T53" s="4">
        <f t="shared" si="18"/>
        <v>1</v>
      </c>
      <c r="U53" s="5">
        <f t="shared" si="33"/>
        <v>15</v>
      </c>
      <c r="V53" s="5">
        <f t="shared" si="34"/>
        <v>15</v>
      </c>
      <c r="X53" s="5">
        <f t="shared" si="26"/>
        <v>15</v>
      </c>
      <c r="Z53" s="5" t="s">
        <v>1000</v>
      </c>
      <c r="AB53" s="5">
        <f>VLOOKUP(AG53,Enchantments!$E$8:$G$36,3,FALSE)</f>
        <v>25</v>
      </c>
      <c r="AC53" s="5">
        <f>INT(X53*1.5)</f>
        <v>22</v>
      </c>
      <c r="AD53" s="6" t="s">
        <v>318</v>
      </c>
      <c r="AE53" s="4" t="s">
        <v>820</v>
      </c>
      <c r="AF53" s="4" t="s">
        <v>990</v>
      </c>
      <c r="AG53" t="s">
        <v>321</v>
      </c>
      <c r="AH53" s="4" t="b">
        <f t="shared" si="35"/>
        <v>1</v>
      </c>
      <c r="AI53" s="4" t="s">
        <v>626</v>
      </c>
      <c r="AJ53" s="4" t="s">
        <v>1020</v>
      </c>
      <c r="AO53" s="4">
        <f>COUNTIF(SpellbooksOwned!$D$2:$K$49,$A53)</f>
        <v>2</v>
      </c>
      <c r="AP53" s="4">
        <f>IF(ISBLANK(AI53),0,VLOOKUP(AI53,SpellbooksOwned!$A$1:$B$49,2,FALSE))</f>
        <v>1</v>
      </c>
      <c r="AQ53" s="4">
        <f>IF(ISBLANK(AJ53),0,VLOOKUP(AJ53,SpellbooksOwned!$A$1:$B$49,2,FALSE))</f>
        <v>0</v>
      </c>
      <c r="AR53" s="4">
        <f>IF(ISBLANK(AK53),0,VLOOKUP(AK53,SpellbooksOwned!$A$1:$B$49,2,FALSE))</f>
        <v>0</v>
      </c>
      <c r="AS53" s="4">
        <f>IF(ISBLANK(AL53),0,VLOOKUP(AL53,SpellbooksOwned!$A$1:$B$49,2,FALSE))</f>
        <v>0</v>
      </c>
      <c r="AT53" s="4">
        <f>IF(ISBLANK(AM53),0,VLOOKUP(AM53,SpellbooksOwned!$A$1:$B$49,2,FALSE))</f>
        <v>0</v>
      </c>
      <c r="AU53" s="4">
        <f>IF(ISBLANK(AN53),0,VLOOKUP(AN53,SpellbooksOwned!$A$1:$B$49,2,FALSE))</f>
        <v>0</v>
      </c>
      <c r="AV53" s="4">
        <f t="shared" si="20"/>
        <v>36</v>
      </c>
      <c r="AW53" s="26">
        <f t="shared" si="21"/>
        <v>41</v>
      </c>
      <c r="AX53" s="29">
        <f t="shared" si="36"/>
        <v>0.28433880816463963</v>
      </c>
      <c r="AY53" s="4" t="str">
        <f t="shared" si="22"/>
        <v>Fair</v>
      </c>
      <c r="AZ53" s="4"/>
    </row>
    <row r="54" spans="1:52" ht="12.75">
      <c r="A54" s="4" t="s">
        <v>387</v>
      </c>
      <c r="B54" s="4">
        <v>2</v>
      </c>
      <c r="C54" s="4" t="s">
        <v>359</v>
      </c>
      <c r="D54" s="4" t="s">
        <v>367</v>
      </c>
      <c r="F54" s="4">
        <f t="shared" si="27"/>
        <v>1</v>
      </c>
      <c r="G54" s="4">
        <f t="shared" si="28"/>
        <v>1</v>
      </c>
      <c r="H54" s="4">
        <f t="shared" si="29"/>
      </c>
      <c r="I54" s="4">
        <f t="shared" si="25"/>
        <v>11</v>
      </c>
      <c r="J54" s="4">
        <f t="shared" si="30"/>
        <v>0</v>
      </c>
      <c r="K54" s="4">
        <f t="shared" si="31"/>
        <v>0</v>
      </c>
      <c r="L54" s="4">
        <f t="shared" si="12"/>
      </c>
      <c r="M54" s="4">
        <f t="shared" si="13"/>
        <v>0</v>
      </c>
      <c r="N54" s="4">
        <f t="shared" si="14"/>
      </c>
      <c r="O54" s="4" t="str">
        <f t="shared" si="15"/>
        <v>Fire</v>
      </c>
      <c r="P54" s="4">
        <f t="shared" si="32"/>
        <v>0</v>
      </c>
      <c r="Q54" s="4">
        <f t="shared" si="16"/>
        <v>0</v>
      </c>
      <c r="R54" s="4">
        <f t="shared" si="6"/>
      </c>
      <c r="S54" s="4">
        <f t="shared" si="17"/>
        <v>0</v>
      </c>
      <c r="T54" s="4">
        <f t="shared" si="18"/>
        <v>1</v>
      </c>
      <c r="U54" s="5">
        <f t="shared" si="33"/>
        <v>15</v>
      </c>
      <c r="V54" s="5">
        <f t="shared" si="34"/>
        <v>15</v>
      </c>
      <c r="X54" s="5">
        <f t="shared" si="26"/>
        <v>15</v>
      </c>
      <c r="Z54" s="5" t="s">
        <v>1000</v>
      </c>
      <c r="AB54" s="5" t="s">
        <v>905</v>
      </c>
      <c r="AC54" s="5">
        <f>INT(X54*1.5)</f>
        <v>22</v>
      </c>
      <c r="AD54" s="6" t="s">
        <v>904</v>
      </c>
      <c r="AE54" s="4" t="s">
        <v>753</v>
      </c>
      <c r="AF54" s="4" t="s">
        <v>998</v>
      </c>
      <c r="AH54" s="4" t="b">
        <f t="shared" si="35"/>
        <v>1</v>
      </c>
      <c r="AI54" s="4" t="s">
        <v>367</v>
      </c>
      <c r="AJ54" s="4" t="s">
        <v>626</v>
      </c>
      <c r="AO54" s="4">
        <f>COUNTIF(SpellbooksOwned!$D$2:$K$49,$A54)</f>
        <v>2</v>
      </c>
      <c r="AP54" s="4">
        <f>IF(ISBLANK(AI54),0,VLOOKUP(AI54,SpellbooksOwned!$A$1:$B$49,2,FALSE))</f>
        <v>1</v>
      </c>
      <c r="AQ54" s="4">
        <f>IF(ISBLANK(AJ54),0,VLOOKUP(AJ54,SpellbooksOwned!$A$1:$B$49,2,FALSE))</f>
        <v>1</v>
      </c>
      <c r="AR54" s="4">
        <f>IF(ISBLANK(AK54),0,VLOOKUP(AK54,SpellbooksOwned!$A$1:$B$49,2,FALSE))</f>
        <v>0</v>
      </c>
      <c r="AS54" s="4">
        <f>IF(ISBLANK(AL54),0,VLOOKUP(AL54,SpellbooksOwned!$A$1:$B$49,2,FALSE))</f>
        <v>0</v>
      </c>
      <c r="AT54" s="4">
        <f>IF(ISBLANK(AM54),0,VLOOKUP(AM54,SpellbooksOwned!$A$1:$B$49,2,FALSE))</f>
        <v>0</v>
      </c>
      <c r="AU54" s="4">
        <f>IF(ISBLANK(AN54),0,VLOOKUP(AN54,SpellbooksOwned!$A$1:$B$49,2,FALSE))</f>
        <v>0</v>
      </c>
      <c r="AV54" s="4">
        <f t="shared" si="20"/>
        <v>-19</v>
      </c>
      <c r="AW54" s="26">
        <f t="shared" si="21"/>
        <v>22</v>
      </c>
      <c r="AX54" s="29">
        <f t="shared" si="36"/>
        <v>0.043632902942498775</v>
      </c>
      <c r="AY54" s="4" t="str">
        <f t="shared" si="22"/>
        <v>Very Good</v>
      </c>
      <c r="AZ54" s="4"/>
    </row>
    <row r="55" spans="1:52" ht="12.75">
      <c r="A55" s="9" t="s">
        <v>432</v>
      </c>
      <c r="B55" s="4">
        <v>2</v>
      </c>
      <c r="C55" s="4" t="s">
        <v>364</v>
      </c>
      <c r="D55" s="4" t="s">
        <v>383</v>
      </c>
      <c r="F55" s="4">
        <f t="shared" si="27"/>
        <v>1</v>
      </c>
      <c r="G55" s="4">
        <f t="shared" si="28"/>
        <v>1</v>
      </c>
      <c r="H55" s="4">
        <f t="shared" si="29"/>
      </c>
      <c r="I55" s="4">
        <f t="shared" si="25"/>
        <v>11</v>
      </c>
      <c r="J55" s="4">
        <f t="shared" si="30"/>
        <v>0</v>
      </c>
      <c r="K55" s="4">
        <f t="shared" si="31"/>
        <v>0</v>
      </c>
      <c r="L55" s="4">
        <f t="shared" si="12"/>
      </c>
      <c r="M55" s="4" t="str">
        <f t="shared" si="13"/>
        <v>Ice</v>
      </c>
      <c r="N55" s="4">
        <f t="shared" si="14"/>
        <v>0</v>
      </c>
      <c r="O55" s="4">
        <f t="shared" si="15"/>
        <v>0</v>
      </c>
      <c r="P55" s="4">
        <f t="shared" si="32"/>
      </c>
      <c r="Q55" s="4">
        <f t="shared" si="16"/>
        <v>0</v>
      </c>
      <c r="R55" s="4">
        <f t="shared" si="6"/>
      </c>
      <c r="S55" s="4">
        <f t="shared" si="17"/>
        <v>0</v>
      </c>
      <c r="T55" s="4">
        <f t="shared" si="18"/>
        <v>1</v>
      </c>
      <c r="U55" s="5">
        <f t="shared" si="33"/>
        <v>15</v>
      </c>
      <c r="V55" s="5">
        <f t="shared" si="34"/>
        <v>15</v>
      </c>
      <c r="X55" s="5">
        <f t="shared" si="26"/>
        <v>15</v>
      </c>
      <c r="Z55" s="5" t="s">
        <v>59</v>
      </c>
      <c r="AA55" s="5" t="s">
        <v>172</v>
      </c>
      <c r="AB55" s="5">
        <f>2*(3+INT(X55/20))</f>
        <v>6</v>
      </c>
      <c r="AD55" s="6" t="s">
        <v>173</v>
      </c>
      <c r="AE55" s="4" t="s">
        <v>732</v>
      </c>
      <c r="AH55" s="4" t="b">
        <f t="shared" si="35"/>
        <v>1</v>
      </c>
      <c r="AI55" s="4" t="s">
        <v>364</v>
      </c>
      <c r="AJ55" s="4" t="s">
        <v>611</v>
      </c>
      <c r="AK55" s="4" t="s">
        <v>1018</v>
      </c>
      <c r="AO55" s="4">
        <f>COUNTIF(SpellbooksOwned!$D$2:$K$49,$A55)</f>
        <v>3</v>
      </c>
      <c r="AP55" s="4">
        <f>IF(ISBLANK(AI55),0,VLOOKUP(AI55,SpellbooksOwned!$A$1:$B$49,2,FALSE))</f>
        <v>0</v>
      </c>
      <c r="AQ55" s="4">
        <f>IF(ISBLANK(AJ55),0,VLOOKUP(AJ55,SpellbooksOwned!$A$1:$B$49,2,FALSE))</f>
        <v>1</v>
      </c>
      <c r="AR55" s="4">
        <f>IF(ISBLANK(AK55),0,VLOOKUP(AK55,SpellbooksOwned!$A$1:$B$49,2,FALSE))</f>
        <v>0</v>
      </c>
      <c r="AS55" s="4">
        <f>IF(ISBLANK(AL55),0,VLOOKUP(AL55,SpellbooksOwned!$A$1:$B$49,2,FALSE))</f>
        <v>0</v>
      </c>
      <c r="AT55" s="4">
        <f>IF(ISBLANK(AM55),0,VLOOKUP(AM55,SpellbooksOwned!$A$1:$B$49,2,FALSE))</f>
        <v>0</v>
      </c>
      <c r="AU55" s="4">
        <f>IF(ISBLANK(AN55),0,VLOOKUP(AN55,SpellbooksOwned!$A$1:$B$49,2,FALSE))</f>
        <v>0</v>
      </c>
      <c r="AV55" s="4">
        <f t="shared" si="20"/>
        <v>-19</v>
      </c>
      <c r="AW55" s="26">
        <f t="shared" si="21"/>
        <v>22</v>
      </c>
      <c r="AX55" s="29">
        <f t="shared" si="36"/>
        <v>0.043632902942498775</v>
      </c>
      <c r="AY55" s="4" t="str">
        <f t="shared" si="22"/>
        <v>Very Good</v>
      </c>
      <c r="AZ55" s="4"/>
    </row>
    <row r="56" spans="1:52" ht="12.75">
      <c r="A56" s="4" t="s">
        <v>433</v>
      </c>
      <c r="B56" s="4">
        <v>5</v>
      </c>
      <c r="C56" s="4" t="s">
        <v>359</v>
      </c>
      <c r="F56" s="4">
        <f t="shared" si="27"/>
        <v>1</v>
      </c>
      <c r="G56" s="4">
        <f t="shared" si="28"/>
      </c>
      <c r="H56" s="4">
        <f t="shared" si="29"/>
      </c>
      <c r="I56" s="4">
        <f t="shared" si="25"/>
        <v>11</v>
      </c>
      <c r="J56" s="4">
        <f t="shared" si="30"/>
        <v>0</v>
      </c>
      <c r="K56" s="4">
        <f t="shared" si="31"/>
      </c>
      <c r="L56" s="4">
        <f t="shared" si="12"/>
      </c>
      <c r="M56" s="4">
        <f t="shared" si="13"/>
        <v>0</v>
      </c>
      <c r="N56" s="4">
        <f t="shared" si="14"/>
      </c>
      <c r="O56" s="4">
        <f t="shared" si="15"/>
        <v>0</v>
      </c>
      <c r="P56" s="4">
        <f t="shared" si="32"/>
      </c>
      <c r="Q56" s="4">
        <f t="shared" si="16"/>
        <v>0</v>
      </c>
      <c r="R56" s="4">
        <f t="shared" si="6"/>
      </c>
      <c r="S56" s="4">
        <f t="shared" si="17"/>
        <v>0</v>
      </c>
      <c r="T56" s="4">
        <f t="shared" si="18"/>
        <v>1</v>
      </c>
      <c r="U56" s="5">
        <f t="shared" si="33"/>
        <v>15</v>
      </c>
      <c r="V56" s="5">
        <f t="shared" si="34"/>
        <v>15</v>
      </c>
      <c r="X56" s="5">
        <f t="shared" si="26"/>
        <v>15</v>
      </c>
      <c r="Z56" s="5" t="s">
        <v>64</v>
      </c>
      <c r="AB56" s="5" t="s">
        <v>1146</v>
      </c>
      <c r="AD56" s="6" t="s">
        <v>66</v>
      </c>
      <c r="AE56" s="4" t="s">
        <v>770</v>
      </c>
      <c r="AH56" s="4" t="b">
        <f t="shared" si="35"/>
        <v>0</v>
      </c>
      <c r="AI56" s="4" t="s">
        <v>593</v>
      </c>
      <c r="AO56" s="4">
        <f>COUNTIF(SpellbooksOwned!$D$2:$K$49,$A56)</f>
        <v>1</v>
      </c>
      <c r="AP56" s="4">
        <f>IF(ISBLANK(AI56),0,VLOOKUP(AI56,SpellbooksOwned!$A$1:$B$49,2,FALSE))</f>
        <v>0</v>
      </c>
      <c r="AQ56" s="4">
        <f>IF(ISBLANK(AJ56),0,VLOOKUP(AJ56,SpellbooksOwned!$A$1:$B$49,2,FALSE))</f>
        <v>0</v>
      </c>
      <c r="AR56" s="4">
        <f>IF(ISBLANK(AK56),0,VLOOKUP(AK56,SpellbooksOwned!$A$1:$B$49,2,FALSE))</f>
        <v>0</v>
      </c>
      <c r="AS56" s="4">
        <f>IF(ISBLANK(AL56),0,VLOOKUP(AL56,SpellbooksOwned!$A$1:$B$49,2,FALSE))</f>
        <v>0</v>
      </c>
      <c r="AT56" s="4">
        <f>IF(ISBLANK(AM56),0,VLOOKUP(AM56,SpellbooksOwned!$A$1:$B$49,2,FALSE))</f>
        <v>0</v>
      </c>
      <c r="AU56" s="4">
        <f>IF(ISBLANK(AN56),0,VLOOKUP(AN56,SpellbooksOwned!$A$1:$B$49,2,FALSE))</f>
        <v>0</v>
      </c>
      <c r="AV56" s="4">
        <f t="shared" si="20"/>
        <v>66</v>
      </c>
      <c r="AW56" s="26">
        <f t="shared" si="21"/>
        <v>66</v>
      </c>
      <c r="AX56" s="29">
        <f t="shared" si="36"/>
        <v>0.8238144797733274</v>
      </c>
      <c r="AY56" s="4" t="str">
        <f t="shared" si="22"/>
        <v>Very Poor</v>
      </c>
      <c r="AZ56" s="4"/>
    </row>
    <row r="57" spans="1:52" ht="12.75">
      <c r="A57" s="4" t="s">
        <v>434</v>
      </c>
      <c r="B57" s="4">
        <v>2</v>
      </c>
      <c r="C57" s="4" t="s">
        <v>359</v>
      </c>
      <c r="D57" s="4" t="s">
        <v>364</v>
      </c>
      <c r="F57" s="4">
        <f t="shared" si="27"/>
        <v>1</v>
      </c>
      <c r="G57" s="4">
        <f t="shared" si="28"/>
        <v>1</v>
      </c>
      <c r="H57" s="4">
        <f t="shared" si="29"/>
      </c>
      <c r="I57" s="4">
        <f t="shared" si="25"/>
        <v>11</v>
      </c>
      <c r="J57" s="4">
        <f t="shared" si="30"/>
        <v>0</v>
      </c>
      <c r="K57" s="4">
        <f t="shared" si="31"/>
        <v>0</v>
      </c>
      <c r="L57" s="4">
        <f t="shared" si="12"/>
      </c>
      <c r="M57" s="4">
        <f t="shared" si="13"/>
        <v>0</v>
      </c>
      <c r="N57" s="4">
        <f t="shared" si="14"/>
      </c>
      <c r="O57" s="4" t="str">
        <f t="shared" si="15"/>
        <v>Ice</v>
      </c>
      <c r="P57" s="4">
        <f t="shared" si="32"/>
        <v>0</v>
      </c>
      <c r="Q57" s="4">
        <f t="shared" si="16"/>
        <v>0</v>
      </c>
      <c r="R57" s="4">
        <f t="shared" si="6"/>
      </c>
      <c r="S57" s="4">
        <f t="shared" si="17"/>
        <v>0</v>
      </c>
      <c r="T57" s="4">
        <f t="shared" si="18"/>
        <v>1</v>
      </c>
      <c r="U57" s="5">
        <f t="shared" si="33"/>
        <v>15</v>
      </c>
      <c r="V57" s="5">
        <f t="shared" si="34"/>
        <v>15</v>
      </c>
      <c r="X57" s="5">
        <f t="shared" si="26"/>
        <v>15</v>
      </c>
      <c r="Z57" s="5">
        <v>0</v>
      </c>
      <c r="AB57" s="5">
        <f>MIN(50,7+2*INT((X57+1)/2))</f>
        <v>23</v>
      </c>
      <c r="AD57" s="6" t="s">
        <v>74</v>
      </c>
      <c r="AE57" s="4" t="s">
        <v>733</v>
      </c>
      <c r="AH57" s="4" t="b">
        <f t="shared" si="35"/>
        <v>0</v>
      </c>
      <c r="AI57" s="4" t="s">
        <v>364</v>
      </c>
      <c r="AJ57" s="4" t="s">
        <v>616</v>
      </c>
      <c r="AO57" s="4">
        <f>COUNTIF(SpellbooksOwned!$D$2:$K$49,$A57)</f>
        <v>2</v>
      </c>
      <c r="AP57" s="4">
        <f>IF(ISBLANK(AI57),0,VLOOKUP(AI57,SpellbooksOwned!$A$1:$B$49,2,FALSE))</f>
        <v>0</v>
      </c>
      <c r="AQ57" s="4">
        <f>IF(ISBLANK(AJ57),0,VLOOKUP(AJ57,SpellbooksOwned!$A$1:$B$49,2,FALSE))</f>
        <v>0</v>
      </c>
      <c r="AR57" s="4">
        <f>IF(ISBLANK(AK57),0,VLOOKUP(AK57,SpellbooksOwned!$A$1:$B$49,2,FALSE))</f>
        <v>0</v>
      </c>
      <c r="AS57" s="4">
        <f>IF(ISBLANK(AL57),0,VLOOKUP(AL57,SpellbooksOwned!$A$1:$B$49,2,FALSE))</f>
        <v>0</v>
      </c>
      <c r="AT57" s="4">
        <f>IF(ISBLANK(AM57),0,VLOOKUP(AM57,SpellbooksOwned!$A$1:$B$49,2,FALSE))</f>
        <v>0</v>
      </c>
      <c r="AU57" s="4">
        <f>IF(ISBLANK(AN57),0,VLOOKUP(AN57,SpellbooksOwned!$A$1:$B$49,2,FALSE))</f>
        <v>0</v>
      </c>
      <c r="AV57" s="4">
        <f t="shared" si="20"/>
        <v>-19</v>
      </c>
      <c r="AW57" s="26">
        <f t="shared" si="21"/>
        <v>22</v>
      </c>
      <c r="AX57" s="29">
        <f t="shared" si="36"/>
        <v>0.043632902942498775</v>
      </c>
      <c r="AY57" s="4" t="str">
        <f t="shared" si="22"/>
        <v>Very Good</v>
      </c>
      <c r="AZ57" s="4"/>
    </row>
    <row r="58" spans="1:52" ht="12.75">
      <c r="A58" s="4" t="s">
        <v>435</v>
      </c>
      <c r="B58" s="4">
        <v>9</v>
      </c>
      <c r="C58" s="4" t="s">
        <v>361</v>
      </c>
      <c r="D58" s="4" t="s">
        <v>364</v>
      </c>
      <c r="F58" s="4">
        <f t="shared" si="27"/>
        <v>1</v>
      </c>
      <c r="G58" s="4">
        <f t="shared" si="28"/>
        <v>1</v>
      </c>
      <c r="H58" s="4">
        <f t="shared" si="29"/>
      </c>
      <c r="I58" s="4">
        <f t="shared" si="25"/>
        <v>11</v>
      </c>
      <c r="J58" s="4">
        <f t="shared" si="30"/>
        <v>0</v>
      </c>
      <c r="K58" s="4">
        <f t="shared" si="31"/>
        <v>0</v>
      </c>
      <c r="L58" s="4">
        <f t="shared" si="12"/>
      </c>
      <c r="M58" s="4">
        <f t="shared" si="13"/>
        <v>0</v>
      </c>
      <c r="N58" s="4">
        <f t="shared" si="14"/>
      </c>
      <c r="O58" s="4" t="str">
        <f t="shared" si="15"/>
        <v>Ice</v>
      </c>
      <c r="P58" s="4">
        <f t="shared" si="32"/>
        <v>0</v>
      </c>
      <c r="Q58" s="4">
        <f t="shared" si="16"/>
        <v>0</v>
      </c>
      <c r="R58" s="4">
        <f t="shared" si="6"/>
      </c>
      <c r="S58" s="4">
        <f t="shared" si="17"/>
        <v>0</v>
      </c>
      <c r="T58" s="4">
        <f t="shared" si="18"/>
        <v>1</v>
      </c>
      <c r="U58" s="5">
        <f t="shared" si="33"/>
        <v>15</v>
      </c>
      <c r="V58" s="5">
        <f t="shared" si="34"/>
        <v>15</v>
      </c>
      <c r="W58" s="5">
        <v>200</v>
      </c>
      <c r="X58" s="5">
        <f t="shared" si="26"/>
        <v>15</v>
      </c>
      <c r="Y58" s="6">
        <f>(6*INT((20+INT(X58))/6)+1)/2</f>
        <v>15.5</v>
      </c>
      <c r="Z58" s="5" t="s">
        <v>59</v>
      </c>
      <c r="AA58" s="5">
        <f>20+INT(X58/10)</f>
        <v>21</v>
      </c>
      <c r="AB58" s="5">
        <f>MIN(22,1+5/2+2*(INT(Y58/5)+1)/2)</f>
        <v>7.5</v>
      </c>
      <c r="AD58" s="6" t="s">
        <v>142</v>
      </c>
      <c r="AE58" s="4" t="s">
        <v>847</v>
      </c>
      <c r="AH58" s="4" t="b">
        <f t="shared" si="35"/>
        <v>1</v>
      </c>
      <c r="AI58" s="4" t="s">
        <v>646</v>
      </c>
      <c r="AO58" s="4">
        <f>COUNTIF(SpellbooksOwned!$D$2:$K$49,$A58)</f>
        <v>1</v>
      </c>
      <c r="AP58" s="4">
        <f>IF(ISBLANK(AI58),0,VLOOKUP(AI58,SpellbooksOwned!$A$1:$B$49,2,FALSE))</f>
        <v>1</v>
      </c>
      <c r="AQ58" s="4">
        <f>IF(ISBLANK(AJ58),0,VLOOKUP(AJ58,SpellbooksOwned!$A$1:$B$49,2,FALSE))</f>
        <v>0</v>
      </c>
      <c r="AR58" s="4">
        <f>IF(ISBLANK(AK58),0,VLOOKUP(AK58,SpellbooksOwned!$A$1:$B$49,2,FALSE))</f>
        <v>0</v>
      </c>
      <c r="AS58" s="4">
        <f>IF(ISBLANK(AL58),0,VLOOKUP(AL58,SpellbooksOwned!$A$1:$B$49,2,FALSE))</f>
        <v>0</v>
      </c>
      <c r="AT58" s="4">
        <f>IF(ISBLANK(AM58),0,VLOOKUP(AM58,SpellbooksOwned!$A$1:$B$49,2,FALSE))</f>
        <v>0</v>
      </c>
      <c r="AU58" s="4">
        <f>IF(ISBLANK(AN58),0,VLOOKUP(AN58,SpellbooksOwned!$A$1:$B$49,2,FALSE))</f>
        <v>0</v>
      </c>
      <c r="AV58" s="4">
        <f t="shared" si="20"/>
        <v>296</v>
      </c>
      <c r="AW58" s="26">
        <f t="shared" si="21"/>
        <v>100</v>
      </c>
      <c r="AX58" s="29">
        <f t="shared" si="36"/>
        <v>0.9985109323648599</v>
      </c>
      <c r="AY58" s="4" t="str">
        <f t="shared" si="22"/>
        <v>Useless</v>
      </c>
      <c r="AZ58" s="4"/>
    </row>
    <row r="59" spans="1:52" ht="12.75">
      <c r="A59" s="4" t="s">
        <v>436</v>
      </c>
      <c r="B59" s="4">
        <v>6</v>
      </c>
      <c r="C59" s="4" t="s">
        <v>361</v>
      </c>
      <c r="D59" s="4" t="s">
        <v>364</v>
      </c>
      <c r="F59" s="4">
        <f t="shared" si="27"/>
        <v>1</v>
      </c>
      <c r="G59" s="4">
        <f t="shared" si="28"/>
        <v>1</v>
      </c>
      <c r="H59" s="4">
        <f t="shared" si="29"/>
      </c>
      <c r="I59" s="4">
        <f t="shared" si="25"/>
        <v>11</v>
      </c>
      <c r="J59" s="4">
        <f t="shared" si="30"/>
        <v>0</v>
      </c>
      <c r="K59" s="4">
        <f t="shared" si="31"/>
        <v>0</v>
      </c>
      <c r="L59" s="4">
        <f t="shared" si="12"/>
      </c>
      <c r="M59" s="4">
        <f t="shared" si="13"/>
        <v>0</v>
      </c>
      <c r="N59" s="4">
        <f t="shared" si="14"/>
      </c>
      <c r="O59" s="4" t="str">
        <f t="shared" si="15"/>
        <v>Ice</v>
      </c>
      <c r="P59" s="4">
        <f t="shared" si="32"/>
        <v>0</v>
      </c>
      <c r="Q59" s="4">
        <f t="shared" si="16"/>
        <v>0</v>
      </c>
      <c r="R59" s="4">
        <f t="shared" si="6"/>
      </c>
      <c r="S59" s="4">
        <f t="shared" si="17"/>
        <v>0</v>
      </c>
      <c r="T59" s="4">
        <f t="shared" si="18"/>
        <v>1</v>
      </c>
      <c r="U59" s="5">
        <f t="shared" si="33"/>
        <v>15</v>
      </c>
      <c r="V59" s="5">
        <f t="shared" si="34"/>
        <v>15</v>
      </c>
      <c r="W59" s="5">
        <v>200</v>
      </c>
      <c r="X59" s="5">
        <f t="shared" si="26"/>
        <v>15</v>
      </c>
      <c r="Y59" s="6">
        <f>(3*INT((10+INT(X59/2))/3)+1)/2</f>
        <v>8</v>
      </c>
      <c r="Z59" s="5" t="s">
        <v>933</v>
      </c>
      <c r="AA59" s="5">
        <v>40</v>
      </c>
      <c r="AB59" s="5">
        <v>1</v>
      </c>
      <c r="AD59" s="6" t="s">
        <v>139</v>
      </c>
      <c r="AE59" s="4" t="s">
        <v>718</v>
      </c>
      <c r="AH59" s="4" t="b">
        <f t="shared" si="35"/>
        <v>1</v>
      </c>
      <c r="AI59" s="4" t="s">
        <v>1012</v>
      </c>
      <c r="AJ59" s="4" t="s">
        <v>583</v>
      </c>
      <c r="AK59" s="4" t="s">
        <v>1014</v>
      </c>
      <c r="AL59" s="4" t="s">
        <v>1021</v>
      </c>
      <c r="AO59" s="4">
        <f>COUNTIF(SpellbooksOwned!$D$2:$K$49,$A59)</f>
        <v>4</v>
      </c>
      <c r="AP59" s="4">
        <f>IF(ISBLANK(AI59),0,VLOOKUP(AI59,SpellbooksOwned!$A$1:$B$49,2,FALSE))</f>
        <v>1</v>
      </c>
      <c r="AQ59" s="4">
        <f>IF(ISBLANK(AJ59),0,VLOOKUP(AJ59,SpellbooksOwned!$A$1:$B$49,2,FALSE))</f>
        <v>0</v>
      </c>
      <c r="AR59" s="4">
        <f>IF(ISBLANK(AK59),0,VLOOKUP(AK59,SpellbooksOwned!$A$1:$B$49,2,FALSE))</f>
        <v>1</v>
      </c>
      <c r="AS59" s="4">
        <f>IF(ISBLANK(AL59),0,VLOOKUP(AL59,SpellbooksOwned!$A$1:$B$49,2,FALSE))</f>
        <v>1</v>
      </c>
      <c r="AT59" s="4">
        <f>IF(ISBLANK(AM59),0,VLOOKUP(AM59,SpellbooksOwned!$A$1:$B$49,2,FALSE))</f>
        <v>0</v>
      </c>
      <c r="AU59" s="4">
        <f>IF(ISBLANK(AN59),0,VLOOKUP(AN59,SpellbooksOwned!$A$1:$B$49,2,FALSE))</f>
        <v>0</v>
      </c>
      <c r="AV59" s="4">
        <f t="shared" si="20"/>
        <v>116</v>
      </c>
      <c r="AW59" s="26">
        <f t="shared" si="21"/>
        <v>100</v>
      </c>
      <c r="AX59" s="29">
        <f t="shared" si="36"/>
        <v>0.9985109323648599</v>
      </c>
      <c r="AY59" s="4" t="str">
        <f t="shared" si="22"/>
        <v>Useless</v>
      </c>
      <c r="AZ59" s="4"/>
    </row>
    <row r="60" spans="1:52" ht="12.75">
      <c r="A60" s="4" t="s">
        <v>887</v>
      </c>
      <c r="B60" s="4">
        <v>8</v>
      </c>
      <c r="C60" s="4" t="s">
        <v>589</v>
      </c>
      <c r="F60" s="4">
        <f t="shared" si="27"/>
        <v>6</v>
      </c>
      <c r="G60" s="4">
        <f t="shared" si="28"/>
      </c>
      <c r="H60" s="4">
        <f t="shared" si="29"/>
      </c>
      <c r="I60" s="4">
        <f t="shared" si="25"/>
        <v>21</v>
      </c>
      <c r="J60" s="4">
        <f t="shared" si="30"/>
        <v>0</v>
      </c>
      <c r="K60" s="4">
        <f t="shared" si="31"/>
      </c>
      <c r="L60" s="4">
        <f t="shared" si="12"/>
      </c>
      <c r="M60" s="4">
        <f t="shared" si="13"/>
        <v>0</v>
      </c>
      <c r="N60" s="4">
        <f t="shared" si="14"/>
      </c>
      <c r="O60" s="4">
        <f t="shared" si="15"/>
        <v>0</v>
      </c>
      <c r="P60" s="4">
        <f t="shared" si="32"/>
      </c>
      <c r="Q60" s="4">
        <f t="shared" si="16"/>
        <v>0</v>
      </c>
      <c r="R60" s="4">
        <f t="shared" si="6"/>
      </c>
      <c r="S60" s="4">
        <f t="shared" si="17"/>
        <v>0</v>
      </c>
      <c r="T60" s="4">
        <f t="shared" si="18"/>
        <v>1</v>
      </c>
      <c r="U60" s="5">
        <f t="shared" si="33"/>
        <v>29</v>
      </c>
      <c r="V60" s="5">
        <f t="shared" si="34"/>
        <v>29</v>
      </c>
      <c r="W60" s="5">
        <v>200</v>
      </c>
      <c r="X60" s="5">
        <f t="shared" si="26"/>
        <v>29</v>
      </c>
      <c r="Y60" s="6">
        <f>(6*INT((30+INT(X60))/6)+1)/2</f>
        <v>27.5</v>
      </c>
      <c r="Z60" s="5" t="s">
        <v>939</v>
      </c>
      <c r="AA60" s="5">
        <v>20</v>
      </c>
      <c r="AB60" s="5">
        <v>1</v>
      </c>
      <c r="AD60" s="6" t="s">
        <v>1005</v>
      </c>
      <c r="AE60" s="4" t="s">
        <v>888</v>
      </c>
      <c r="AF60" s="4" t="s">
        <v>993</v>
      </c>
      <c r="AH60" s="4" t="e">
        <f t="shared" si="35"/>
        <v>#N/A</v>
      </c>
      <c r="AI60" s="4" t="s">
        <v>1032</v>
      </c>
      <c r="AO60" s="4">
        <f>COUNTIF(SpellbooksOwned!$D$2:$K$49,$A60)</f>
        <v>0</v>
      </c>
      <c r="AP60" s="4" t="e">
        <f>IF(ISBLANK(AI60),0,VLOOKUP(AI60,SpellbooksOwned!$A$1:$B$49,2,FALSE))</f>
        <v>#N/A</v>
      </c>
      <c r="AQ60" s="4">
        <f>IF(ISBLANK(AJ60),0,VLOOKUP(AJ60,SpellbooksOwned!$A$1:$B$49,2,FALSE))</f>
        <v>0</v>
      </c>
      <c r="AR60" s="4">
        <f>IF(ISBLANK(AK60),0,VLOOKUP(AK60,SpellbooksOwned!$A$1:$B$49,2,FALSE))</f>
        <v>0</v>
      </c>
      <c r="AS60" s="4">
        <f>IF(ISBLANK(AL60),0,VLOOKUP(AL60,SpellbooksOwned!$A$1:$B$49,2,FALSE))</f>
        <v>0</v>
      </c>
      <c r="AT60" s="4">
        <f>IF(ISBLANK(AM60),0,VLOOKUP(AM60,SpellbooksOwned!$A$1:$B$49,2,FALSE))</f>
        <v>0</v>
      </c>
      <c r="AU60" s="4">
        <f>IF(ISBLANK(AN60),0,VLOOKUP(AN60,SpellbooksOwned!$A$1:$B$49,2,FALSE))</f>
        <v>0</v>
      </c>
      <c r="AV60" s="4">
        <f t="shared" si="20"/>
        <v>166</v>
      </c>
      <c r="AW60" s="26">
        <f t="shared" si="21"/>
        <v>100</v>
      </c>
      <c r="AX60" s="29">
        <f t="shared" si="36"/>
        <v>0.9985109323648599</v>
      </c>
      <c r="AY60" s="4" t="str">
        <f t="shared" si="22"/>
        <v>Useless</v>
      </c>
      <c r="AZ60" s="4"/>
    </row>
    <row r="61" spans="1:52" ht="12.75">
      <c r="A61" s="4" t="s">
        <v>437</v>
      </c>
      <c r="B61" s="4">
        <v>1</v>
      </c>
      <c r="C61" s="4" t="s">
        <v>361</v>
      </c>
      <c r="D61" s="4" t="s">
        <v>364</v>
      </c>
      <c r="F61" s="4">
        <f t="shared" si="27"/>
        <v>1</v>
      </c>
      <c r="G61" s="4">
        <f t="shared" si="28"/>
        <v>1</v>
      </c>
      <c r="H61" s="4">
        <f t="shared" si="29"/>
      </c>
      <c r="I61" s="4">
        <f t="shared" si="25"/>
        <v>11</v>
      </c>
      <c r="J61" s="4">
        <f t="shared" si="30"/>
        <v>0</v>
      </c>
      <c r="K61" s="4">
        <f t="shared" si="31"/>
        <v>0</v>
      </c>
      <c r="L61" s="4">
        <f t="shared" si="12"/>
      </c>
      <c r="M61" s="4">
        <f t="shared" si="13"/>
        <v>0</v>
      </c>
      <c r="N61" s="4">
        <f t="shared" si="14"/>
      </c>
      <c r="O61" s="4" t="str">
        <f t="shared" si="15"/>
        <v>Ice</v>
      </c>
      <c r="P61" s="4">
        <f t="shared" si="32"/>
        <v>0</v>
      </c>
      <c r="Q61" s="4">
        <f t="shared" si="16"/>
        <v>0</v>
      </c>
      <c r="R61" s="4">
        <f t="shared" si="6"/>
      </c>
      <c r="S61" s="4">
        <f t="shared" si="17"/>
        <v>0</v>
      </c>
      <c r="T61" s="4">
        <f t="shared" si="18"/>
        <v>1</v>
      </c>
      <c r="U61" s="5">
        <f t="shared" si="33"/>
        <v>15</v>
      </c>
      <c r="V61" s="5">
        <f t="shared" si="34"/>
        <v>15</v>
      </c>
      <c r="W61" s="5">
        <v>25</v>
      </c>
      <c r="X61" s="5">
        <f t="shared" si="26"/>
        <v>15</v>
      </c>
      <c r="Y61" s="6">
        <f>1*(7+INT(X61/6)+1)/2</f>
        <v>5</v>
      </c>
      <c r="Z61" s="5">
        <f>MIN(4,(INT(1+0.5+INT((X61+1)/2/10))))</f>
        <v>1</v>
      </c>
      <c r="AA61" s="5">
        <f>8+INT(X61/6)</f>
        <v>10</v>
      </c>
      <c r="AB61" s="5">
        <v>1</v>
      </c>
      <c r="AE61" s="4" t="s">
        <v>722</v>
      </c>
      <c r="AF61" s="4" t="s">
        <v>954</v>
      </c>
      <c r="AH61" s="4" t="b">
        <f t="shared" si="35"/>
        <v>0</v>
      </c>
      <c r="AI61" s="4" t="s">
        <v>583</v>
      </c>
      <c r="AO61" s="4">
        <f>COUNTIF(SpellbooksOwned!$D$2:$K$49,$A61)</f>
        <v>1</v>
      </c>
      <c r="AP61" s="4">
        <f>IF(ISBLANK(AI61),0,VLOOKUP(AI61,SpellbooksOwned!$A$1:$B$49,2,FALSE))</f>
        <v>0</v>
      </c>
      <c r="AQ61" s="4">
        <f>IF(ISBLANK(AJ61),0,VLOOKUP(AJ61,SpellbooksOwned!$A$1:$B$49,2,FALSE))</f>
        <v>0</v>
      </c>
      <c r="AR61" s="4">
        <f>IF(ISBLANK(AK61),0,VLOOKUP(AK61,SpellbooksOwned!$A$1:$B$49,2,FALSE))</f>
        <v>0</v>
      </c>
      <c r="AS61" s="4">
        <f>IF(ISBLANK(AL61),0,VLOOKUP(AL61,SpellbooksOwned!$A$1:$B$49,2,FALSE))</f>
        <v>0</v>
      </c>
      <c r="AT61" s="4">
        <f>IF(ISBLANK(AM61),0,VLOOKUP(AM61,SpellbooksOwned!$A$1:$B$49,2,FALSE))</f>
        <v>0</v>
      </c>
      <c r="AU61" s="4">
        <f>IF(ISBLANK(AN61),0,VLOOKUP(AN61,SpellbooksOwned!$A$1:$B$49,2,FALSE))</f>
        <v>0</v>
      </c>
      <c r="AV61" s="4">
        <f t="shared" si="20"/>
        <v>-31</v>
      </c>
      <c r="AW61" s="26">
        <f t="shared" si="21"/>
        <v>18</v>
      </c>
      <c r="AX61" s="29">
        <f t="shared" si="36"/>
        <v>0.025587989795647026</v>
      </c>
      <c r="AY61" s="4" t="str">
        <f t="shared" si="22"/>
        <v>Great</v>
      </c>
      <c r="AZ61" s="4"/>
    </row>
    <row r="62" spans="1:52" ht="12.75">
      <c r="A62" s="4" t="s">
        <v>438</v>
      </c>
      <c r="B62" s="4">
        <v>4</v>
      </c>
      <c r="C62" s="4" t="s">
        <v>374</v>
      </c>
      <c r="D62" s="4" t="s">
        <v>359</v>
      </c>
      <c r="F62" s="4">
        <f t="shared" si="27"/>
        <v>1</v>
      </c>
      <c r="G62" s="4">
        <f t="shared" si="28"/>
        <v>1</v>
      </c>
      <c r="H62" s="4">
        <f t="shared" si="29"/>
      </c>
      <c r="I62" s="4">
        <f t="shared" si="25"/>
        <v>11</v>
      </c>
      <c r="J62" s="4">
        <f t="shared" si="30"/>
        <v>0</v>
      </c>
      <c r="K62" s="4">
        <f t="shared" si="31"/>
        <v>0</v>
      </c>
      <c r="L62" s="4">
        <f t="shared" si="12"/>
      </c>
      <c r="M62" s="4" t="str">
        <f t="shared" si="13"/>
        <v>Earth</v>
      </c>
      <c r="N62" s="4">
        <f t="shared" si="14"/>
        <v>0</v>
      </c>
      <c r="O62" s="4">
        <f t="shared" si="15"/>
        <v>0</v>
      </c>
      <c r="P62" s="4">
        <f t="shared" si="32"/>
      </c>
      <c r="Q62" s="4">
        <f t="shared" si="16"/>
        <v>0</v>
      </c>
      <c r="R62" s="4">
        <f t="shared" si="6"/>
      </c>
      <c r="S62" s="4">
        <f t="shared" si="17"/>
        <v>0</v>
      </c>
      <c r="T62" s="4">
        <f t="shared" si="18"/>
        <v>1</v>
      </c>
      <c r="U62" s="5">
        <f t="shared" si="33"/>
        <v>15</v>
      </c>
      <c r="V62" s="5">
        <f t="shared" si="34"/>
        <v>15</v>
      </c>
      <c r="X62" s="5">
        <f t="shared" si="26"/>
        <v>15</v>
      </c>
      <c r="Z62" s="5" t="s">
        <v>64</v>
      </c>
      <c r="AB62" s="5">
        <f>MIN(100,25+2*INT((X62+1)/2))</f>
        <v>41</v>
      </c>
      <c r="AD62" s="6" t="s">
        <v>69</v>
      </c>
      <c r="AE62" s="4" t="s">
        <v>829</v>
      </c>
      <c r="AH62" s="4" t="b">
        <f t="shared" si="35"/>
        <v>1</v>
      </c>
      <c r="AI62" s="4" t="s">
        <v>27</v>
      </c>
      <c r="AO62" s="4">
        <f>COUNTIF(SpellbooksOwned!$D$2:$K$49,$A62)</f>
        <v>1</v>
      </c>
      <c r="AP62" s="4">
        <f>IF(ISBLANK(AI62),0,VLOOKUP(AI62,SpellbooksOwned!$A$1:$B$49,2,FALSE))</f>
        <v>1</v>
      </c>
      <c r="AQ62" s="4">
        <f>IF(ISBLANK(AJ62),0,VLOOKUP(AJ62,SpellbooksOwned!$A$1:$B$49,2,FALSE))</f>
        <v>0</v>
      </c>
      <c r="AR62" s="4">
        <f>IF(ISBLANK(AK62),0,VLOOKUP(AK62,SpellbooksOwned!$A$1:$B$49,2,FALSE))</f>
        <v>0</v>
      </c>
      <c r="AS62" s="4">
        <f>IF(ISBLANK(AL62),0,VLOOKUP(AL62,SpellbooksOwned!$A$1:$B$49,2,FALSE))</f>
        <v>0</v>
      </c>
      <c r="AT62" s="4">
        <f>IF(ISBLANK(AM62),0,VLOOKUP(AM62,SpellbooksOwned!$A$1:$B$49,2,FALSE))</f>
        <v>0</v>
      </c>
      <c r="AU62" s="4">
        <f>IF(ISBLANK(AN62),0,VLOOKUP(AN62,SpellbooksOwned!$A$1:$B$49,2,FALSE))</f>
        <v>0</v>
      </c>
      <c r="AV62" s="4">
        <f t="shared" si="20"/>
        <v>36</v>
      </c>
      <c r="AW62" s="26">
        <f t="shared" si="21"/>
        <v>41</v>
      </c>
      <c r="AX62" s="29">
        <f t="shared" si="36"/>
        <v>0.28433880816463963</v>
      </c>
      <c r="AY62" s="4" t="str">
        <f t="shared" si="22"/>
        <v>Fair</v>
      </c>
      <c r="AZ62" s="4"/>
    </row>
    <row r="63" spans="1:52" ht="12.75">
      <c r="A63" s="4" t="s">
        <v>439</v>
      </c>
      <c r="B63" s="4">
        <v>5</v>
      </c>
      <c r="C63" s="4" t="s">
        <v>458</v>
      </c>
      <c r="F63" s="4">
        <f t="shared" si="27"/>
        <v>1</v>
      </c>
      <c r="G63" s="4">
        <f t="shared" si="28"/>
      </c>
      <c r="H63" s="4">
        <f t="shared" si="29"/>
      </c>
      <c r="I63" s="4">
        <f t="shared" si="25"/>
        <v>11</v>
      </c>
      <c r="J63" s="4">
        <f t="shared" si="30"/>
        <v>0</v>
      </c>
      <c r="K63" s="4">
        <f t="shared" si="31"/>
      </c>
      <c r="L63" s="4">
        <f t="shared" si="12"/>
      </c>
      <c r="M63" s="4">
        <f t="shared" si="13"/>
        <v>0</v>
      </c>
      <c r="N63" s="4">
        <f t="shared" si="14"/>
      </c>
      <c r="O63" s="4">
        <f t="shared" si="15"/>
        <v>0</v>
      </c>
      <c r="P63" s="4">
        <f t="shared" si="32"/>
      </c>
      <c r="Q63" s="4">
        <f t="shared" si="16"/>
        <v>0</v>
      </c>
      <c r="R63" s="4">
        <f t="shared" si="6"/>
      </c>
      <c r="S63" s="4">
        <f t="shared" si="17"/>
        <v>0</v>
      </c>
      <c r="T63" s="4">
        <f t="shared" si="18"/>
        <v>1</v>
      </c>
      <c r="U63" s="5">
        <f t="shared" si="33"/>
        <v>15</v>
      </c>
      <c r="V63" s="5">
        <f t="shared" si="34"/>
        <v>15</v>
      </c>
      <c r="X63" s="5">
        <f t="shared" si="26"/>
        <v>15</v>
      </c>
      <c r="Z63" s="5" t="s">
        <v>64</v>
      </c>
      <c r="AB63" s="5">
        <f>MIN(30,5+(X63+1)/2)</f>
        <v>13</v>
      </c>
      <c r="AD63" s="6" t="s">
        <v>163</v>
      </c>
      <c r="AE63" s="4" t="s">
        <v>833</v>
      </c>
      <c r="AH63" s="4" t="b">
        <f t="shared" si="35"/>
        <v>1</v>
      </c>
      <c r="AI63" s="4" t="s">
        <v>639</v>
      </c>
      <c r="AO63" s="4">
        <f>COUNTIF(SpellbooksOwned!$D$2:$K$49,$A63)</f>
        <v>1</v>
      </c>
      <c r="AP63" s="4">
        <f>IF(ISBLANK(AI63),0,VLOOKUP(AI63,SpellbooksOwned!$A$1:$B$49,2,FALSE))</f>
        <v>1</v>
      </c>
      <c r="AQ63" s="4">
        <f>IF(ISBLANK(AJ63),0,VLOOKUP(AJ63,SpellbooksOwned!$A$1:$B$49,2,FALSE))</f>
        <v>0</v>
      </c>
      <c r="AR63" s="4">
        <f>IF(ISBLANK(AK63),0,VLOOKUP(AK63,SpellbooksOwned!$A$1:$B$49,2,FALSE))</f>
        <v>0</v>
      </c>
      <c r="AS63" s="4">
        <f>IF(ISBLANK(AL63),0,VLOOKUP(AL63,SpellbooksOwned!$A$1:$B$49,2,FALSE))</f>
        <v>0</v>
      </c>
      <c r="AT63" s="4">
        <f>IF(ISBLANK(AM63),0,VLOOKUP(AM63,SpellbooksOwned!$A$1:$B$49,2,FALSE))</f>
        <v>0</v>
      </c>
      <c r="AU63" s="4">
        <f>IF(ISBLANK(AN63),0,VLOOKUP(AN63,SpellbooksOwned!$A$1:$B$49,2,FALSE))</f>
        <v>0</v>
      </c>
      <c r="AV63" s="4">
        <f t="shared" si="20"/>
        <v>66</v>
      </c>
      <c r="AW63" s="26">
        <f t="shared" si="21"/>
        <v>66</v>
      </c>
      <c r="AX63" s="29">
        <f t="shared" si="36"/>
        <v>0.8238144797733274</v>
      </c>
      <c r="AY63" s="4" t="str">
        <f t="shared" si="22"/>
        <v>Very Poor</v>
      </c>
      <c r="AZ63" s="4"/>
    </row>
    <row r="64" spans="1:52" ht="12.75">
      <c r="A64" s="4" t="s">
        <v>440</v>
      </c>
      <c r="B64" s="4">
        <v>1</v>
      </c>
      <c r="C64" s="4" t="s">
        <v>367</v>
      </c>
      <c r="F64" s="4">
        <f t="shared" si="27"/>
        <v>1</v>
      </c>
      <c r="G64" s="4">
        <f t="shared" si="28"/>
      </c>
      <c r="H64" s="4">
        <f t="shared" si="29"/>
      </c>
      <c r="I64" s="4">
        <f t="shared" si="25"/>
        <v>11</v>
      </c>
      <c r="J64" s="4">
        <f t="shared" si="30"/>
        <v>0</v>
      </c>
      <c r="K64" s="4">
        <f t="shared" si="31"/>
      </c>
      <c r="L64" s="4">
        <f t="shared" si="12"/>
      </c>
      <c r="M64" s="4" t="str">
        <f t="shared" si="13"/>
        <v>Fire</v>
      </c>
      <c r="N64" s="4">
        <f t="shared" si="14"/>
        <v>0</v>
      </c>
      <c r="O64" s="4">
        <f t="shared" si="15"/>
        <v>0</v>
      </c>
      <c r="P64" s="4">
        <f t="shared" si="32"/>
      </c>
      <c r="Q64" s="4">
        <f t="shared" si="16"/>
        <v>0</v>
      </c>
      <c r="R64" s="4">
        <f t="shared" si="6"/>
      </c>
      <c r="S64" s="4">
        <f t="shared" si="17"/>
        <v>0</v>
      </c>
      <c r="T64" s="4">
        <f t="shared" si="18"/>
        <v>1</v>
      </c>
      <c r="U64" s="5">
        <f t="shared" si="33"/>
        <v>15</v>
      </c>
      <c r="V64" s="5">
        <f t="shared" si="34"/>
        <v>15</v>
      </c>
      <c r="W64" s="5">
        <v>25</v>
      </c>
      <c r="X64" s="5">
        <f t="shared" si="26"/>
        <v>15</v>
      </c>
      <c r="Y64" s="6">
        <f>(3+INT(X64/3)+1)/2</f>
        <v>4.5</v>
      </c>
      <c r="Z64" s="5" t="s">
        <v>59</v>
      </c>
      <c r="AA64" s="5" t="s">
        <v>149</v>
      </c>
      <c r="AB64" s="5">
        <v>1</v>
      </c>
      <c r="AD64" s="6" t="s">
        <v>92</v>
      </c>
      <c r="AE64" s="4" t="s">
        <v>724</v>
      </c>
      <c r="AH64" s="4" t="b">
        <f t="shared" si="35"/>
        <v>1</v>
      </c>
      <c r="AI64" s="4" t="s">
        <v>587</v>
      </c>
      <c r="AO64" s="4">
        <f>COUNTIF(SpellbooksOwned!$D$2:$K$49,$A64)</f>
        <v>1</v>
      </c>
      <c r="AP64" s="4">
        <f>IF(ISBLANK(AI64),0,VLOOKUP(AI64,SpellbooksOwned!$A$1:$B$49,2,FALSE))</f>
        <v>1</v>
      </c>
      <c r="AQ64" s="4">
        <f>IF(ISBLANK(AJ64),0,VLOOKUP(AJ64,SpellbooksOwned!$A$1:$B$49,2,FALSE))</f>
        <v>0</v>
      </c>
      <c r="AR64" s="4">
        <f>IF(ISBLANK(AK64),0,VLOOKUP(AK64,SpellbooksOwned!$A$1:$B$49,2,FALSE))</f>
        <v>0</v>
      </c>
      <c r="AS64" s="4">
        <f>IF(ISBLANK(AL64),0,VLOOKUP(AL64,SpellbooksOwned!$A$1:$B$49,2,FALSE))</f>
        <v>0</v>
      </c>
      <c r="AT64" s="4">
        <f>IF(ISBLANK(AM64),0,VLOOKUP(AM64,SpellbooksOwned!$A$1:$B$49,2,FALSE))</f>
        <v>0</v>
      </c>
      <c r="AU64" s="4">
        <f>IF(ISBLANK(AN64),0,VLOOKUP(AN64,SpellbooksOwned!$A$1:$B$49,2,FALSE))</f>
        <v>0</v>
      </c>
      <c r="AV64" s="4">
        <f t="shared" si="20"/>
        <v>-31</v>
      </c>
      <c r="AW64" s="26">
        <f t="shared" si="21"/>
        <v>18</v>
      </c>
      <c r="AX64" s="29">
        <f t="shared" si="36"/>
        <v>0.025587989795647026</v>
      </c>
      <c r="AY64" s="4" t="str">
        <f t="shared" si="22"/>
        <v>Great</v>
      </c>
      <c r="AZ64" s="4"/>
    </row>
    <row r="65" spans="1:52" ht="12.75">
      <c r="A65" s="4" t="s">
        <v>441</v>
      </c>
      <c r="B65" s="4">
        <v>2</v>
      </c>
      <c r="C65" s="4" t="s">
        <v>359</v>
      </c>
      <c r="D65" s="4" t="s">
        <v>367</v>
      </c>
      <c r="F65" s="4">
        <f t="shared" si="27"/>
        <v>1</v>
      </c>
      <c r="G65" s="4">
        <f t="shared" si="28"/>
        <v>1</v>
      </c>
      <c r="H65" s="4">
        <f t="shared" si="29"/>
      </c>
      <c r="I65" s="4">
        <f aca="true" t="shared" si="37" ref="I65:I96">INT(Spellcasting/2)+INT(2*AVERAGE(F65:H65))+3*RingOfWizardry+4*StaffOfWizardry+2*RobeOfTheArchmagi</f>
        <v>11</v>
      </c>
      <c r="J65" s="4">
        <f t="shared" si="30"/>
        <v>0</v>
      </c>
      <c r="K65" s="4">
        <f t="shared" si="31"/>
        <v>0</v>
      </c>
      <c r="L65" s="4">
        <f t="shared" si="12"/>
      </c>
      <c r="M65" s="4">
        <f t="shared" si="13"/>
        <v>0</v>
      </c>
      <c r="N65" s="4">
        <f t="shared" si="14"/>
      </c>
      <c r="O65" s="4" t="str">
        <f t="shared" si="15"/>
        <v>Fire</v>
      </c>
      <c r="P65" s="4">
        <f t="shared" si="32"/>
        <v>0</v>
      </c>
      <c r="Q65" s="4">
        <f t="shared" si="16"/>
        <v>0</v>
      </c>
      <c r="R65" s="4">
        <f t="shared" si="6"/>
      </c>
      <c r="S65" s="4">
        <f t="shared" si="17"/>
        <v>0</v>
      </c>
      <c r="T65" s="4">
        <f t="shared" si="18"/>
        <v>1</v>
      </c>
      <c r="U65" s="5">
        <f t="shared" si="33"/>
        <v>15</v>
      </c>
      <c r="V65" s="5">
        <f t="shared" si="34"/>
        <v>15</v>
      </c>
      <c r="X65" s="5">
        <f aca="true" t="shared" si="38" ref="X65:X96">MIN(V65:W65)</f>
        <v>15</v>
      </c>
      <c r="Z65" s="5">
        <v>0</v>
      </c>
      <c r="AB65" s="5">
        <f>MIN(50,7+2*INT((X65+1)/2))</f>
        <v>23</v>
      </c>
      <c r="AD65" s="6" t="s">
        <v>75</v>
      </c>
      <c r="AE65" s="4" t="s">
        <v>752</v>
      </c>
      <c r="AH65" s="4" t="b">
        <f t="shared" si="35"/>
        <v>1</v>
      </c>
      <c r="AI65" s="4" t="s">
        <v>367</v>
      </c>
      <c r="AJ65" s="4" t="s">
        <v>616</v>
      </c>
      <c r="AO65" s="4">
        <f>COUNTIF(SpellbooksOwned!$D$2:$K$49,$A65)</f>
        <v>2</v>
      </c>
      <c r="AP65" s="4">
        <f>IF(ISBLANK(AI65),0,VLOOKUP(AI65,SpellbooksOwned!$A$1:$B$49,2,FALSE))</f>
        <v>1</v>
      </c>
      <c r="AQ65" s="4">
        <f>IF(ISBLANK(AJ65),0,VLOOKUP(AJ65,SpellbooksOwned!$A$1:$B$49,2,FALSE))</f>
        <v>0</v>
      </c>
      <c r="AR65" s="4">
        <f>IF(ISBLANK(AK65),0,VLOOKUP(AK65,SpellbooksOwned!$A$1:$B$49,2,FALSE))</f>
        <v>0</v>
      </c>
      <c r="AS65" s="4">
        <f>IF(ISBLANK(AL65),0,VLOOKUP(AL65,SpellbooksOwned!$A$1:$B$49,2,FALSE))</f>
        <v>0</v>
      </c>
      <c r="AT65" s="4">
        <f>IF(ISBLANK(AM65),0,VLOOKUP(AM65,SpellbooksOwned!$A$1:$B$49,2,FALSE))</f>
        <v>0</v>
      </c>
      <c r="AU65" s="4">
        <f>IF(ISBLANK(AN65),0,VLOOKUP(AN65,SpellbooksOwned!$A$1:$B$49,2,FALSE))</f>
        <v>0</v>
      </c>
      <c r="AV65" s="4">
        <f t="shared" si="20"/>
        <v>-19</v>
      </c>
      <c r="AW65" s="26">
        <f t="shared" si="21"/>
        <v>22</v>
      </c>
      <c r="AX65" s="29">
        <f t="shared" si="36"/>
        <v>0.043632902942498775</v>
      </c>
      <c r="AY65" s="4" t="str">
        <f t="shared" si="22"/>
        <v>Very Good</v>
      </c>
      <c r="AZ65" s="4"/>
    </row>
    <row r="66" spans="1:52" ht="12.75">
      <c r="A66" s="4" t="s">
        <v>442</v>
      </c>
      <c r="B66" s="4">
        <v>7</v>
      </c>
      <c r="C66" s="4" t="s">
        <v>374</v>
      </c>
      <c r="D66" s="4" t="s">
        <v>361</v>
      </c>
      <c r="E66" s="4" t="s">
        <v>367</v>
      </c>
      <c r="F66" s="4">
        <f aca="true" t="shared" si="39" ref="F66:F97">IF(ISBLANK(C66),"",VLOOKUP(C66,TblSkillLevels,2,FALSE))</f>
        <v>1</v>
      </c>
      <c r="G66" s="4">
        <f aca="true" t="shared" si="40" ref="G66:G97">IF(ISBLANK(D66),"",VLOOKUP(D66,TblSkillLevels,2,FALSE))</f>
        <v>1</v>
      </c>
      <c r="H66" s="4">
        <f aca="true" t="shared" si="41" ref="H66:H97">IF(ISBLANK(E66),"",VLOOKUP(E66,TblSkillLevels,2,FALSE))</f>
        <v>1</v>
      </c>
      <c r="I66" s="4">
        <f t="shared" si="37"/>
        <v>11</v>
      </c>
      <c r="J66" s="4">
        <f aca="true" t="shared" si="42" ref="J66:J97">IF(ISBLANK(C66),"",VLOOKUP(C66,TblSkillItems,2,FALSE))</f>
        <v>0</v>
      </c>
      <c r="K66" s="4">
        <f aca="true" t="shared" si="43" ref="K66:K97">IF(ISBLANK(D66),"",VLOOKUP(D66,TblSkillItems,2,FALSE))</f>
        <v>0</v>
      </c>
      <c r="L66" s="4">
        <f t="shared" si="12"/>
        <v>0</v>
      </c>
      <c r="M66" s="4" t="str">
        <f t="shared" si="13"/>
        <v>Earth</v>
      </c>
      <c r="N66" s="4">
        <f t="shared" si="14"/>
        <v>0</v>
      </c>
      <c r="O66" s="4">
        <f t="shared" si="15"/>
        <v>0</v>
      </c>
      <c r="P66" s="4">
        <f aca="true" t="shared" si="44" ref="P66:P97">IF(O66=0,"",VLOOKUP(O66,TblSkillItems,2,FALSE))</f>
      </c>
      <c r="Q66" s="4" t="str">
        <f t="shared" si="16"/>
        <v>Fire</v>
      </c>
      <c r="R66" s="4">
        <f aca="true" t="shared" si="45" ref="R66:R129">IF(Q66=0,"",VLOOKUP(Q66,TblSkillItems,2,FALSE))</f>
        <v>0</v>
      </c>
      <c r="S66" s="4">
        <f t="shared" si="17"/>
        <v>0</v>
      </c>
      <c r="T66" s="4">
        <f t="shared" si="18"/>
        <v>1</v>
      </c>
      <c r="U66" s="5">
        <f aca="true" t="shared" si="46" ref="U66:U71">INT(INT(I66*T66)*Intelligence/10)</f>
        <v>15</v>
      </c>
      <c r="V66" s="5">
        <f>MIN(200,IF(U66&lt;=50,U66,IF(U66&lt;=150,INT(U66/2)+25,IF(U66&lt;=350,INT((U66-50)/4)+75,INT((INT((U66-50)/4)-75)/2)+150))))</f>
        <v>15</v>
      </c>
      <c r="X66" s="5">
        <f t="shared" si="38"/>
        <v>15</v>
      </c>
      <c r="Y66" s="6">
        <f>16/2+6</f>
        <v>14</v>
      </c>
      <c r="Z66" s="5" t="s">
        <v>59</v>
      </c>
      <c r="AB66" s="5">
        <f>AC66</f>
        <v>9</v>
      </c>
      <c r="AC66" s="5">
        <f>8+2/2</f>
        <v>9</v>
      </c>
      <c r="AD66" s="6" t="s">
        <v>906</v>
      </c>
      <c r="AE66" s="4" t="s">
        <v>721</v>
      </c>
      <c r="AH66" s="4" t="b">
        <f t="shared" si="35"/>
        <v>1</v>
      </c>
      <c r="AI66" s="4" t="s">
        <v>1013</v>
      </c>
      <c r="AJ66" s="4" t="s">
        <v>587</v>
      </c>
      <c r="AK66" s="4" t="s">
        <v>1018</v>
      </c>
      <c r="AO66" s="4">
        <f>COUNTIF(SpellbooksOwned!$D$2:$K$49,$A66)</f>
        <v>3</v>
      </c>
      <c r="AP66" s="4">
        <f>IF(ISBLANK(AI66),0,VLOOKUP(AI66,SpellbooksOwned!$A$1:$B$49,2,FALSE))</f>
        <v>1</v>
      </c>
      <c r="AQ66" s="4">
        <f>IF(ISBLANK(AJ66),0,VLOOKUP(AJ66,SpellbooksOwned!$A$1:$B$49,2,FALSE))</f>
        <v>1</v>
      </c>
      <c r="AR66" s="4">
        <f>IF(ISBLANK(AK66),0,VLOOKUP(AK66,SpellbooksOwned!$A$1:$B$49,2,FALSE))</f>
        <v>0</v>
      </c>
      <c r="AS66" s="4">
        <f>IF(ISBLANK(AL66),0,VLOOKUP(AL66,SpellbooksOwned!$A$1:$B$49,2,FALSE))</f>
        <v>0</v>
      </c>
      <c r="AT66" s="4">
        <f>IF(ISBLANK(AM66),0,VLOOKUP(AM66,SpellbooksOwned!$A$1:$B$49,2,FALSE))</f>
        <v>0</v>
      </c>
      <c r="AU66" s="4">
        <f>IF(ISBLANK(AN66),0,VLOOKUP(AN66,SpellbooksOwned!$A$1:$B$49,2,FALSE))</f>
        <v>0</v>
      </c>
      <c r="AV66" s="4">
        <f t="shared" si="20"/>
        <v>166</v>
      </c>
      <c r="AW66" s="26">
        <f t="shared" si="21"/>
        <v>100</v>
      </c>
      <c r="AX66" s="29">
        <f aca="true" t="shared" si="47" ref="AX66:AX96">NORMDIST(AW66,50.5,100/6,TRUE)</f>
        <v>0.9985109323648599</v>
      </c>
      <c r="AY66" s="4" t="str">
        <f t="shared" si="22"/>
        <v>Useless</v>
      </c>
      <c r="AZ66" s="4"/>
    </row>
    <row r="67" spans="1:52" ht="12.75">
      <c r="A67" s="4" t="s">
        <v>921</v>
      </c>
      <c r="B67" s="4">
        <v>1</v>
      </c>
      <c r="C67" s="4" t="s">
        <v>371</v>
      </c>
      <c r="D67" s="4" t="s">
        <v>383</v>
      </c>
      <c r="F67" s="4">
        <f t="shared" si="39"/>
        <v>1</v>
      </c>
      <c r="G67" s="4">
        <f t="shared" si="40"/>
        <v>1</v>
      </c>
      <c r="H67" s="4">
        <f t="shared" si="41"/>
      </c>
      <c r="I67" s="4">
        <f t="shared" si="37"/>
        <v>11</v>
      </c>
      <c r="J67" s="4">
        <f t="shared" si="42"/>
        <v>0</v>
      </c>
      <c r="K67" s="4">
        <f t="shared" si="43"/>
        <v>0</v>
      </c>
      <c r="L67" s="4">
        <f aca="true" t="shared" si="48" ref="L67:L130">IF(ISBLANK(E67),"",VLOOKUP(E67,TblSkillItems,2,FALSE))</f>
      </c>
      <c r="M67" s="4">
        <f aca="true" t="shared" si="49" ref="M67:M130">IF(ISBLANK($C67),0,VLOOKUP($C67,TblOppSchools,3,FALSE))</f>
        <v>0</v>
      </c>
      <c r="N67" s="4">
        <f aca="true" t="shared" si="50" ref="N67:N130">IF(M67=0,"",VLOOKUP(M67,TblSkillItems,2,FALSE))</f>
      </c>
      <c r="O67" s="4">
        <f aca="true" t="shared" si="51" ref="O67:O130">IF(ISBLANK($D67),0,VLOOKUP($D67,TblOppSchools,3,FALSE))</f>
        <v>0</v>
      </c>
      <c r="P67" s="4">
        <f t="shared" si="44"/>
      </c>
      <c r="Q67" s="4">
        <f aca="true" t="shared" si="52" ref="Q67:Q130">IF(ISBLANK($E67),0,VLOOKUP($E67,TblOppSchools,3,FALSE))</f>
        <v>0</v>
      </c>
      <c r="R67" s="4">
        <f t="shared" si="45"/>
      </c>
      <c r="S67" s="4">
        <f aca="true" t="shared" si="53" ref="S67:S130">SUM(J67:L67)-SUM(N67,P67,R67)</f>
        <v>0</v>
      </c>
      <c r="T67" s="4">
        <f aca="true" t="shared" si="54" ref="T67:T130">IF(S67&gt;0,1.5^S67,1/2^(-S67))</f>
        <v>1</v>
      </c>
      <c r="U67" s="5">
        <f t="shared" si="46"/>
        <v>15</v>
      </c>
      <c r="V67" s="5">
        <f aca="true" t="shared" si="55" ref="V67:V129">MIN(200,IF(U67&lt;=50,U67,IF(U67&lt;=150,INT(U67/2)+25,IF(U67&lt;=350,INT((U67-50)/4)+75,INT((INT((U67-50)/4)-75)/2)+150))))</f>
        <v>15</v>
      </c>
      <c r="W67" s="5">
        <v>50</v>
      </c>
      <c r="X67" s="5">
        <f t="shared" si="38"/>
        <v>15</v>
      </c>
      <c r="Z67" s="5">
        <v>0</v>
      </c>
      <c r="AB67" s="5" t="s">
        <v>158</v>
      </c>
      <c r="AD67" s="6" t="s">
        <v>174</v>
      </c>
      <c r="AE67" s="4" t="s">
        <v>787</v>
      </c>
      <c r="AH67" s="4" t="b">
        <f aca="true" t="shared" si="56" ref="AH67:AH129">IF(AND((CharLevel&gt;=$B67),OR($AP67:$AU67)),TRUE,FALSE)</f>
        <v>1</v>
      </c>
      <c r="AI67" s="4" t="s">
        <v>611</v>
      </c>
      <c r="AO67" s="4">
        <f>COUNTIF(SpellbooksOwned!$D$2:$K$49,$A67)</f>
        <v>1</v>
      </c>
      <c r="AP67" s="4">
        <f>IF(ISBLANK(AI67),0,VLOOKUP(AI67,SpellbooksOwned!$A$1:$B$49,2,FALSE))</f>
        <v>1</v>
      </c>
      <c r="AQ67" s="4">
        <f>IF(ISBLANK(AJ67),0,VLOOKUP(AJ67,SpellbooksOwned!$A$1:$B$49,2,FALSE))</f>
        <v>0</v>
      </c>
      <c r="AR67" s="4">
        <f>IF(ISBLANK(AK67),0,VLOOKUP(AK67,SpellbooksOwned!$A$1:$B$49,2,FALSE))</f>
        <v>0</v>
      </c>
      <c r="AS67" s="4">
        <f>IF(ISBLANK(AL67),0,VLOOKUP(AL67,SpellbooksOwned!$A$1:$B$49,2,FALSE))</f>
        <v>0</v>
      </c>
      <c r="AT67" s="4">
        <f>IF(ISBLANK(AM67),0,VLOOKUP(AM67,SpellbooksOwned!$A$1:$B$49,2,FALSE))</f>
        <v>0</v>
      </c>
      <c r="AU67" s="4">
        <f>IF(ISBLANK(AN67),0,VLOOKUP(AN67,SpellbooksOwned!$A$1:$B$49,2,FALSE))</f>
        <v>0</v>
      </c>
      <c r="AV67" s="4">
        <f aca="true" t="shared" si="57" ref="AV67:AV129">60-6*INT(I67*T67)-2*Intelligence+VLOOKUP(B67,TblSpellDifficulty,2)</f>
        <v>-31</v>
      </c>
      <c r="AW67" s="26">
        <f aca="true" t="shared" si="58" ref="AW67:AW129">VLOOKUP(MAX(-181,MIN(100,AV67)),TblSpellFailRemap,2,FALSE)</f>
        <v>18</v>
      </c>
      <c r="AX67" s="29">
        <f t="shared" si="47"/>
        <v>0.025587989795647026</v>
      </c>
      <c r="AY67" s="4" t="str">
        <f aca="true" t="shared" si="59" ref="AY67:AY129">LOOKUP(AW67,TblFailureCategories)</f>
        <v>Great</v>
      </c>
      <c r="AZ67" s="4"/>
    </row>
    <row r="68" spans="1:52" ht="12.75">
      <c r="A68" s="4" t="s">
        <v>876</v>
      </c>
      <c r="B68" s="4">
        <v>6</v>
      </c>
      <c r="C68" s="4" t="s">
        <v>589</v>
      </c>
      <c r="F68" s="4">
        <f t="shared" si="39"/>
        <v>6</v>
      </c>
      <c r="G68" s="4">
        <f t="shared" si="40"/>
      </c>
      <c r="H68" s="4">
        <f t="shared" si="41"/>
      </c>
      <c r="I68" s="4">
        <f t="shared" si="37"/>
        <v>21</v>
      </c>
      <c r="J68" s="4">
        <f t="shared" si="42"/>
        <v>0</v>
      </c>
      <c r="K68" s="4">
        <f t="shared" si="43"/>
      </c>
      <c r="L68" s="4">
        <f t="shared" si="48"/>
      </c>
      <c r="M68" s="4">
        <f t="shared" si="49"/>
        <v>0</v>
      </c>
      <c r="N68" s="4">
        <f t="shared" si="50"/>
      </c>
      <c r="O68" s="4">
        <f t="shared" si="51"/>
        <v>0</v>
      </c>
      <c r="P68" s="4">
        <f t="shared" si="44"/>
      </c>
      <c r="Q68" s="4">
        <f t="shared" si="52"/>
        <v>0</v>
      </c>
      <c r="R68" s="4">
        <f t="shared" si="45"/>
      </c>
      <c r="S68" s="4">
        <f t="shared" si="53"/>
        <v>0</v>
      </c>
      <c r="T68" s="4">
        <f t="shared" si="54"/>
        <v>1</v>
      </c>
      <c r="U68" s="5">
        <f t="shared" si="46"/>
        <v>29</v>
      </c>
      <c r="V68" s="5">
        <f t="shared" si="55"/>
        <v>29</v>
      </c>
      <c r="X68" s="5">
        <f t="shared" si="38"/>
        <v>29</v>
      </c>
      <c r="Y68" s="6">
        <f>2-25-(25+1)/2</f>
        <v>-36</v>
      </c>
      <c r="Z68" s="5" t="s">
        <v>64</v>
      </c>
      <c r="AB68" s="5">
        <v>1</v>
      </c>
      <c r="AE68" s="4" t="s">
        <v>804</v>
      </c>
      <c r="AH68" s="4" t="b">
        <f t="shared" si="56"/>
        <v>0</v>
      </c>
      <c r="AI68" s="4" t="s">
        <v>806</v>
      </c>
      <c r="AO68" s="4">
        <f>COUNTIF(SpellbooksOwned!$D$2:$K$49,$A68)</f>
        <v>1</v>
      </c>
      <c r="AP68" s="4">
        <f>IF(ISBLANK(AI68),0,VLOOKUP(AI68,SpellbooksOwned!$A$1:$B$49,2,FALSE))</f>
        <v>0</v>
      </c>
      <c r="AQ68" s="4">
        <f>IF(ISBLANK(AJ68),0,VLOOKUP(AJ68,SpellbooksOwned!$A$1:$B$49,2,FALSE))</f>
        <v>0</v>
      </c>
      <c r="AR68" s="4">
        <f>IF(ISBLANK(AK68),0,VLOOKUP(AK68,SpellbooksOwned!$A$1:$B$49,2,FALSE))</f>
        <v>0</v>
      </c>
      <c r="AS68" s="4">
        <f>IF(ISBLANK(AL68),0,VLOOKUP(AL68,SpellbooksOwned!$A$1:$B$49,2,FALSE))</f>
        <v>0</v>
      </c>
      <c r="AT68" s="4">
        <f>IF(ISBLANK(AM68),0,VLOOKUP(AM68,SpellbooksOwned!$A$1:$B$49,2,FALSE))</f>
        <v>0</v>
      </c>
      <c r="AU68" s="4">
        <f>IF(ISBLANK(AN68),0,VLOOKUP(AN68,SpellbooksOwned!$A$1:$B$49,2,FALSE))</f>
        <v>0</v>
      </c>
      <c r="AV68" s="4">
        <f t="shared" si="57"/>
        <v>56</v>
      </c>
      <c r="AW68" s="26">
        <f t="shared" si="58"/>
        <v>56</v>
      </c>
      <c r="AX68" s="29">
        <f t="shared" si="47"/>
        <v>0.6292999545432496</v>
      </c>
      <c r="AY68" s="4" t="str">
        <f t="shared" si="59"/>
        <v>Poor</v>
      </c>
      <c r="AZ68" s="4"/>
    </row>
    <row r="69" spans="1:52" ht="12.75">
      <c r="A69" s="4" t="s">
        <v>882</v>
      </c>
      <c r="B69" s="4">
        <v>7</v>
      </c>
      <c r="C69" s="4" t="s">
        <v>589</v>
      </c>
      <c r="F69" s="4">
        <f t="shared" si="39"/>
        <v>6</v>
      </c>
      <c r="G69" s="4">
        <f t="shared" si="40"/>
      </c>
      <c r="H69" s="4">
        <f t="shared" si="41"/>
      </c>
      <c r="I69" s="4">
        <f t="shared" si="37"/>
        <v>21</v>
      </c>
      <c r="J69" s="4">
        <f t="shared" si="42"/>
        <v>0</v>
      </c>
      <c r="K69" s="4">
        <f t="shared" si="43"/>
      </c>
      <c r="L69" s="4">
        <f t="shared" si="48"/>
      </c>
      <c r="M69" s="4">
        <f t="shared" si="49"/>
        <v>0</v>
      </c>
      <c r="N69" s="4">
        <f t="shared" si="50"/>
      </c>
      <c r="O69" s="4">
        <f t="shared" si="51"/>
        <v>0</v>
      </c>
      <c r="P69" s="4">
        <f t="shared" si="44"/>
      </c>
      <c r="Q69" s="4">
        <f t="shared" si="52"/>
        <v>0</v>
      </c>
      <c r="R69" s="4">
        <f t="shared" si="45"/>
      </c>
      <c r="S69" s="4">
        <f t="shared" si="53"/>
        <v>0</v>
      </c>
      <c r="T69" s="4">
        <f t="shared" si="54"/>
        <v>1</v>
      </c>
      <c r="U69" s="5">
        <f t="shared" si="46"/>
        <v>29</v>
      </c>
      <c r="V69" s="5">
        <f t="shared" si="55"/>
        <v>29</v>
      </c>
      <c r="X69" s="5">
        <f t="shared" si="38"/>
        <v>29</v>
      </c>
      <c r="Z69" s="5" t="s">
        <v>908</v>
      </c>
      <c r="AB69" s="5">
        <f>VLOOKUP(AG69,Enchantments!$E$8:$G$36,3,FALSE)</f>
        <v>90</v>
      </c>
      <c r="AD69" s="6" t="s">
        <v>99</v>
      </c>
      <c r="AE69" s="4" t="s">
        <v>880</v>
      </c>
      <c r="AG69" s="5" t="str">
        <f>CONCATENATE("ENCH_ABJ_",TEXT(MIN(6,2+INT(($X69+1)/2/4)),"0"))</f>
        <v>ENCH_ABJ_5</v>
      </c>
      <c r="AH69" s="4" t="e">
        <f t="shared" si="56"/>
        <v>#N/A</v>
      </c>
      <c r="AI69" s="4" t="s">
        <v>1032</v>
      </c>
      <c r="AO69" s="4">
        <f>COUNTIF(SpellbooksOwned!$D$2:$K$49,$A69)</f>
        <v>0</v>
      </c>
      <c r="AP69" s="4" t="e">
        <f>IF(ISBLANK(AI69),0,VLOOKUP(AI69,SpellbooksOwned!$A$1:$B$49,2,FALSE))</f>
        <v>#N/A</v>
      </c>
      <c r="AQ69" s="4">
        <f>IF(ISBLANK(AJ69),0,VLOOKUP(AJ69,SpellbooksOwned!$A$1:$B$49,2,FALSE))</f>
        <v>0</v>
      </c>
      <c r="AR69" s="4">
        <f>IF(ISBLANK(AK69),0,VLOOKUP(AK69,SpellbooksOwned!$A$1:$B$49,2,FALSE))</f>
        <v>0</v>
      </c>
      <c r="AS69" s="4">
        <f>IF(ISBLANK(AL69),0,VLOOKUP(AL69,SpellbooksOwned!$A$1:$B$49,2,FALSE))</f>
        <v>0</v>
      </c>
      <c r="AT69" s="4">
        <f>IF(ISBLANK(AM69),0,VLOOKUP(AM69,SpellbooksOwned!$A$1:$B$49,2,FALSE))</f>
        <v>0</v>
      </c>
      <c r="AU69" s="4">
        <f>IF(ISBLANK(AN69),0,VLOOKUP(AN69,SpellbooksOwned!$A$1:$B$49,2,FALSE))</f>
        <v>0</v>
      </c>
      <c r="AV69" s="4">
        <f t="shared" si="57"/>
        <v>106</v>
      </c>
      <c r="AW69" s="26">
        <f t="shared" si="58"/>
        <v>100</v>
      </c>
      <c r="AX69" s="29">
        <f t="shared" si="47"/>
        <v>0.9985109323648599</v>
      </c>
      <c r="AY69" s="4" t="str">
        <f t="shared" si="59"/>
        <v>Useless</v>
      </c>
      <c r="AZ69" s="4"/>
    </row>
    <row r="70" spans="1:52" ht="12.75">
      <c r="A70" s="4" t="s">
        <v>443</v>
      </c>
      <c r="B70" s="4">
        <v>6</v>
      </c>
      <c r="C70" s="4" t="s">
        <v>359</v>
      </c>
      <c r="F70" s="4">
        <f t="shared" si="39"/>
        <v>1</v>
      </c>
      <c r="G70" s="4">
        <f t="shared" si="40"/>
      </c>
      <c r="H70" s="4">
        <f t="shared" si="41"/>
      </c>
      <c r="I70" s="4">
        <f t="shared" si="37"/>
        <v>11</v>
      </c>
      <c r="J70" s="4">
        <f t="shared" si="42"/>
        <v>0</v>
      </c>
      <c r="K70" s="4">
        <f t="shared" si="43"/>
      </c>
      <c r="L70" s="4">
        <f t="shared" si="48"/>
      </c>
      <c r="M70" s="4">
        <f t="shared" si="49"/>
        <v>0</v>
      </c>
      <c r="N70" s="4">
        <f t="shared" si="50"/>
      </c>
      <c r="O70" s="4">
        <f t="shared" si="51"/>
        <v>0</v>
      </c>
      <c r="P70" s="4">
        <f t="shared" si="44"/>
      </c>
      <c r="Q70" s="4">
        <f t="shared" si="52"/>
        <v>0</v>
      </c>
      <c r="R70" s="4">
        <f t="shared" si="45"/>
      </c>
      <c r="S70" s="4">
        <f t="shared" si="53"/>
        <v>0</v>
      </c>
      <c r="T70" s="4">
        <f t="shared" si="54"/>
        <v>1</v>
      </c>
      <c r="U70" s="5">
        <f t="shared" si="46"/>
        <v>15</v>
      </c>
      <c r="V70" s="5">
        <f t="shared" si="55"/>
        <v>15</v>
      </c>
      <c r="X70" s="5">
        <f t="shared" si="38"/>
        <v>15</v>
      </c>
      <c r="Z70" s="5" t="s">
        <v>59</v>
      </c>
      <c r="AB70" s="5">
        <f>VLOOKUP(AG70,Enchantments!$E$8:$G$36,3,FALSE)</f>
        <v>40</v>
      </c>
      <c r="AC70" s="5">
        <f>MIN(150,40+INT(3*X70/2))-1</f>
        <v>61</v>
      </c>
      <c r="AD70" s="6" t="s">
        <v>737</v>
      </c>
      <c r="AE70" s="4" t="s">
        <v>772</v>
      </c>
      <c r="AF70" s="4" t="s">
        <v>985</v>
      </c>
      <c r="AG70" t="s">
        <v>205</v>
      </c>
      <c r="AH70" s="4" t="b">
        <f t="shared" si="56"/>
        <v>1</v>
      </c>
      <c r="AI70" s="4" t="s">
        <v>593</v>
      </c>
      <c r="AJ70" s="4" t="s">
        <v>616</v>
      </c>
      <c r="AK70" s="4" t="s">
        <v>1021</v>
      </c>
      <c r="AO70" s="4">
        <f>COUNTIF(SpellbooksOwned!$D$2:$K$49,$A70)</f>
        <v>3</v>
      </c>
      <c r="AP70" s="4">
        <f>IF(ISBLANK(AI70),0,VLOOKUP(AI70,SpellbooksOwned!$A$1:$B$49,2,FALSE))</f>
        <v>0</v>
      </c>
      <c r="AQ70" s="4">
        <f>IF(ISBLANK(AJ70),0,VLOOKUP(AJ70,SpellbooksOwned!$A$1:$B$49,2,FALSE))</f>
        <v>0</v>
      </c>
      <c r="AR70" s="4">
        <f>IF(ISBLANK(AK70),0,VLOOKUP(AK70,SpellbooksOwned!$A$1:$B$49,2,FALSE))</f>
        <v>1</v>
      </c>
      <c r="AS70" s="4">
        <f>IF(ISBLANK(AL70),0,VLOOKUP(AL70,SpellbooksOwned!$A$1:$B$49,2,FALSE))</f>
        <v>0</v>
      </c>
      <c r="AT70" s="4">
        <f>IF(ISBLANK(AM70),0,VLOOKUP(AM70,SpellbooksOwned!$A$1:$B$49,2,FALSE))</f>
        <v>0</v>
      </c>
      <c r="AU70" s="4">
        <f>IF(ISBLANK(AN70),0,VLOOKUP(AN70,SpellbooksOwned!$A$1:$B$49,2,FALSE))</f>
        <v>0</v>
      </c>
      <c r="AV70" s="4">
        <f t="shared" si="57"/>
        <v>116</v>
      </c>
      <c r="AW70" s="26">
        <f t="shared" si="58"/>
        <v>100</v>
      </c>
      <c r="AX70" s="29">
        <f t="shared" si="47"/>
        <v>0.9985109323648599</v>
      </c>
      <c r="AY70" s="4" t="str">
        <f t="shared" si="59"/>
        <v>Useless</v>
      </c>
      <c r="AZ70" s="4"/>
    </row>
    <row r="71" spans="1:52" ht="12.75">
      <c r="A71" s="4" t="s">
        <v>918</v>
      </c>
      <c r="B71" s="4">
        <v>3</v>
      </c>
      <c r="C71" s="4" t="s">
        <v>589</v>
      </c>
      <c r="F71" s="4">
        <f t="shared" si="39"/>
        <v>6</v>
      </c>
      <c r="G71" s="4">
        <f t="shared" si="40"/>
      </c>
      <c r="H71" s="4">
        <f t="shared" si="41"/>
      </c>
      <c r="I71" s="4">
        <f t="shared" si="37"/>
        <v>21</v>
      </c>
      <c r="J71" s="4">
        <f t="shared" si="42"/>
        <v>0</v>
      </c>
      <c r="K71" s="4">
        <f t="shared" si="43"/>
      </c>
      <c r="L71" s="4">
        <f t="shared" si="48"/>
      </c>
      <c r="M71" s="4">
        <f t="shared" si="49"/>
        <v>0</v>
      </c>
      <c r="N71" s="4">
        <f t="shared" si="50"/>
      </c>
      <c r="O71" s="4">
        <f t="shared" si="51"/>
        <v>0</v>
      </c>
      <c r="P71" s="4">
        <f t="shared" si="44"/>
      </c>
      <c r="Q71" s="4">
        <f t="shared" si="52"/>
        <v>0</v>
      </c>
      <c r="R71" s="4">
        <f t="shared" si="45"/>
      </c>
      <c r="S71" s="4">
        <f t="shared" si="53"/>
        <v>0</v>
      </c>
      <c r="T71" s="4">
        <f t="shared" si="54"/>
        <v>1</v>
      </c>
      <c r="U71" s="5">
        <f t="shared" si="46"/>
        <v>29</v>
      </c>
      <c r="V71" s="5">
        <f t="shared" si="55"/>
        <v>29</v>
      </c>
      <c r="W71" s="5">
        <v>50</v>
      </c>
      <c r="X71" s="5">
        <f t="shared" si="38"/>
        <v>29</v>
      </c>
      <c r="Y71" s="6">
        <f>-5-1*(7+INT(X71/3)+1)/2</f>
        <v>-13.5</v>
      </c>
      <c r="Z71" s="5" t="s">
        <v>59</v>
      </c>
      <c r="AB71" s="5">
        <v>1</v>
      </c>
      <c r="AC71" s="5">
        <f>(38+10)/2</f>
        <v>24</v>
      </c>
      <c r="AD71" s="6" t="s">
        <v>738</v>
      </c>
      <c r="AE71" s="4" t="s">
        <v>919</v>
      </c>
      <c r="AF71" s="4" t="s">
        <v>991</v>
      </c>
      <c r="AH71" s="4" t="e">
        <f t="shared" si="56"/>
        <v>#N/A</v>
      </c>
      <c r="AI71" s="4" t="s">
        <v>1032</v>
      </c>
      <c r="AO71" s="4">
        <f>COUNTIF(SpellbooksOwned!$D$2:$K$49,$A71)</f>
        <v>0</v>
      </c>
      <c r="AP71" s="4" t="e">
        <f>IF(ISBLANK(AI71),0,VLOOKUP(AI71,SpellbooksOwned!$A$1:$B$49,2,FALSE))</f>
        <v>#N/A</v>
      </c>
      <c r="AQ71" s="4">
        <f>IF(ISBLANK(AJ71),0,VLOOKUP(AJ71,SpellbooksOwned!$A$1:$B$49,2,FALSE))</f>
        <v>0</v>
      </c>
      <c r="AR71" s="4">
        <f>IF(ISBLANK(AK71),0,VLOOKUP(AK71,SpellbooksOwned!$A$1:$B$49,2,FALSE))</f>
        <v>0</v>
      </c>
      <c r="AS71" s="4">
        <f>IF(ISBLANK(AL71),0,VLOOKUP(AL71,SpellbooksOwned!$A$1:$B$49,2,FALSE))</f>
        <v>0</v>
      </c>
      <c r="AT71" s="4">
        <f>IF(ISBLANK(AM71),0,VLOOKUP(AM71,SpellbooksOwned!$A$1:$B$49,2,FALSE))</f>
        <v>0</v>
      </c>
      <c r="AU71" s="4">
        <f>IF(ISBLANK(AN71),0,VLOOKUP(AN71,SpellbooksOwned!$A$1:$B$49,2,FALSE))</f>
        <v>0</v>
      </c>
      <c r="AV71" s="4">
        <f t="shared" si="57"/>
        <v>-59</v>
      </c>
      <c r="AW71" s="26">
        <f t="shared" si="58"/>
        <v>14</v>
      </c>
      <c r="AX71" s="29">
        <f t="shared" si="47"/>
        <v>0.014262068074845646</v>
      </c>
      <c r="AY71" s="4" t="str">
        <f t="shared" si="59"/>
        <v>Great</v>
      </c>
      <c r="AZ71" s="4"/>
    </row>
    <row r="72" spans="1:52" ht="12.75">
      <c r="A72" s="4" t="s">
        <v>917</v>
      </c>
      <c r="B72" s="4">
        <v>7</v>
      </c>
      <c r="C72" s="4" t="s">
        <v>589</v>
      </c>
      <c r="F72" s="4">
        <f t="shared" si="39"/>
        <v>6</v>
      </c>
      <c r="G72" s="4">
        <f t="shared" si="40"/>
      </c>
      <c r="H72" s="4">
        <f t="shared" si="41"/>
      </c>
      <c r="I72" s="4">
        <f t="shared" si="37"/>
        <v>21</v>
      </c>
      <c r="J72" s="4">
        <f t="shared" si="42"/>
        <v>0</v>
      </c>
      <c r="K72" s="4">
        <f t="shared" si="43"/>
      </c>
      <c r="L72" s="4">
        <f t="shared" si="48"/>
      </c>
      <c r="M72" s="4">
        <f t="shared" si="49"/>
        <v>0</v>
      </c>
      <c r="N72" s="4">
        <f t="shared" si="50"/>
      </c>
      <c r="O72" s="4">
        <f t="shared" si="51"/>
        <v>0</v>
      </c>
      <c r="P72" s="4">
        <f t="shared" si="44"/>
      </c>
      <c r="Q72" s="4">
        <f t="shared" si="52"/>
        <v>0</v>
      </c>
      <c r="R72" s="4">
        <f t="shared" si="45"/>
      </c>
      <c r="S72" s="4">
        <f t="shared" si="53"/>
        <v>0</v>
      </c>
      <c r="T72" s="4">
        <f t="shared" si="54"/>
        <v>1</v>
      </c>
      <c r="U72" s="5">
        <v>50</v>
      </c>
      <c r="V72" s="5">
        <f t="shared" si="55"/>
        <v>50</v>
      </c>
      <c r="W72" s="5">
        <v>300</v>
      </c>
      <c r="X72" s="5">
        <f t="shared" si="38"/>
        <v>50</v>
      </c>
      <c r="Y72" s="6">
        <f>(2*INT((15+1)/2)+INT((50+1)/2/3))</f>
        <v>24</v>
      </c>
      <c r="Z72" s="5" t="s">
        <v>59</v>
      </c>
      <c r="AB72" s="5">
        <v>1</v>
      </c>
      <c r="AD72" s="6" t="s">
        <v>85</v>
      </c>
      <c r="AE72" s="4" t="s">
        <v>916</v>
      </c>
      <c r="AH72" s="4" t="e">
        <f t="shared" si="56"/>
        <v>#N/A</v>
      </c>
      <c r="AI72" s="4" t="s">
        <v>1032</v>
      </c>
      <c r="AO72" s="4">
        <f>COUNTIF(SpellbooksOwned!$D$2:$K$49,$A72)</f>
        <v>0</v>
      </c>
      <c r="AP72" s="4" t="e">
        <f>IF(ISBLANK(AI72),0,VLOOKUP(AI72,SpellbooksOwned!$A$1:$B$49,2,FALSE))</f>
        <v>#N/A</v>
      </c>
      <c r="AQ72" s="4">
        <f>IF(ISBLANK(AJ72),0,VLOOKUP(AJ72,SpellbooksOwned!$A$1:$B$49,2,FALSE))</f>
        <v>0</v>
      </c>
      <c r="AR72" s="4">
        <f>IF(ISBLANK(AK72),0,VLOOKUP(AK72,SpellbooksOwned!$A$1:$B$49,2,FALSE))</f>
        <v>0</v>
      </c>
      <c r="AS72" s="4">
        <f>IF(ISBLANK(AL72),0,VLOOKUP(AL72,SpellbooksOwned!$A$1:$B$49,2,FALSE))</f>
        <v>0</v>
      </c>
      <c r="AT72" s="4">
        <f>IF(ISBLANK(AM72),0,VLOOKUP(AM72,SpellbooksOwned!$A$1:$B$49,2,FALSE))</f>
        <v>0</v>
      </c>
      <c r="AU72" s="4">
        <f>IF(ISBLANK(AN72),0,VLOOKUP(AN72,SpellbooksOwned!$A$1:$B$49,2,FALSE))</f>
        <v>0</v>
      </c>
      <c r="AV72" s="4">
        <f t="shared" si="57"/>
        <v>106</v>
      </c>
      <c r="AW72" s="26">
        <f t="shared" si="58"/>
        <v>100</v>
      </c>
      <c r="AX72" s="29">
        <f t="shared" si="47"/>
        <v>0.9985109323648599</v>
      </c>
      <c r="AY72" s="4" t="str">
        <f t="shared" si="59"/>
        <v>Useless</v>
      </c>
      <c r="AZ72" s="4"/>
    </row>
    <row r="73" spans="1:52" ht="12.75">
      <c r="A73" s="4" t="s">
        <v>444</v>
      </c>
      <c r="B73" s="4">
        <v>4</v>
      </c>
      <c r="C73" s="4" t="s">
        <v>361</v>
      </c>
      <c r="D73" s="4" t="s">
        <v>367</v>
      </c>
      <c r="F73" s="4">
        <f t="shared" si="39"/>
        <v>1</v>
      </c>
      <c r="G73" s="4">
        <f t="shared" si="40"/>
        <v>1</v>
      </c>
      <c r="H73" s="4">
        <f t="shared" si="41"/>
      </c>
      <c r="I73" s="4">
        <f t="shared" si="37"/>
        <v>11</v>
      </c>
      <c r="J73" s="4">
        <f t="shared" si="42"/>
        <v>0</v>
      </c>
      <c r="K73" s="4">
        <f t="shared" si="43"/>
        <v>0</v>
      </c>
      <c r="L73" s="4">
        <f t="shared" si="48"/>
      </c>
      <c r="M73" s="4">
        <f t="shared" si="49"/>
        <v>0</v>
      </c>
      <c r="N73" s="4">
        <f t="shared" si="50"/>
      </c>
      <c r="O73" s="4" t="str">
        <f t="shared" si="51"/>
        <v>Fire</v>
      </c>
      <c r="P73" s="4">
        <f t="shared" si="44"/>
        <v>0</v>
      </c>
      <c r="Q73" s="4">
        <f t="shared" si="52"/>
        <v>0</v>
      </c>
      <c r="R73" s="4">
        <f t="shared" si="45"/>
      </c>
      <c r="S73" s="4">
        <f t="shared" si="53"/>
        <v>0</v>
      </c>
      <c r="T73" s="4">
        <f t="shared" si="54"/>
        <v>1</v>
      </c>
      <c r="U73" s="5">
        <f aca="true" t="shared" si="60" ref="U73:U113">INT(INT(I73*T73)*Intelligence/10)</f>
        <v>15</v>
      </c>
      <c r="V73" s="5">
        <f t="shared" si="55"/>
        <v>15</v>
      </c>
      <c r="W73" s="5">
        <v>100</v>
      </c>
      <c r="X73" s="5">
        <f t="shared" si="38"/>
        <v>15</v>
      </c>
      <c r="Y73" s="6">
        <f>(3*INT((10+INT(X73/2))/3)+1)/2</f>
        <v>8</v>
      </c>
      <c r="Z73" s="5" t="s">
        <v>933</v>
      </c>
      <c r="AA73" s="5">
        <f>9+INT(X73/12)</f>
        <v>10</v>
      </c>
      <c r="AB73" s="5">
        <v>1</v>
      </c>
      <c r="AD73" s="6" t="s">
        <v>1006</v>
      </c>
      <c r="AE73" s="4" t="s">
        <v>725</v>
      </c>
      <c r="AF73" s="4" t="s">
        <v>963</v>
      </c>
      <c r="AH73" s="4" t="b">
        <f t="shared" si="56"/>
        <v>1</v>
      </c>
      <c r="AI73" s="4" t="s">
        <v>587</v>
      </c>
      <c r="AO73" s="4">
        <f>COUNTIF(SpellbooksOwned!$D$2:$K$49,$A73)</f>
        <v>1</v>
      </c>
      <c r="AP73" s="4">
        <f>IF(ISBLANK(AI73),0,VLOOKUP(AI73,SpellbooksOwned!$A$1:$B$49,2,FALSE))</f>
        <v>1</v>
      </c>
      <c r="AQ73" s="4">
        <f>IF(ISBLANK(AJ73),0,VLOOKUP(AJ73,SpellbooksOwned!$A$1:$B$49,2,FALSE))</f>
        <v>0</v>
      </c>
      <c r="AR73" s="4">
        <f>IF(ISBLANK(AK73),0,VLOOKUP(AK73,SpellbooksOwned!$A$1:$B$49,2,FALSE))</f>
        <v>0</v>
      </c>
      <c r="AS73" s="4">
        <f>IF(ISBLANK(AL73),0,VLOOKUP(AL73,SpellbooksOwned!$A$1:$B$49,2,FALSE))</f>
        <v>0</v>
      </c>
      <c r="AT73" s="4">
        <f>IF(ISBLANK(AM73),0,VLOOKUP(AM73,SpellbooksOwned!$A$1:$B$49,2,FALSE))</f>
        <v>0</v>
      </c>
      <c r="AU73" s="4">
        <f>IF(ISBLANK(AN73),0,VLOOKUP(AN73,SpellbooksOwned!$A$1:$B$49,2,FALSE))</f>
        <v>0</v>
      </c>
      <c r="AV73" s="4">
        <f t="shared" si="57"/>
        <v>36</v>
      </c>
      <c r="AW73" s="26">
        <f t="shared" si="58"/>
        <v>41</v>
      </c>
      <c r="AX73" s="29">
        <f t="shared" si="47"/>
        <v>0.28433880816463963</v>
      </c>
      <c r="AY73" s="4" t="str">
        <f t="shared" si="59"/>
        <v>Fair</v>
      </c>
      <c r="AZ73" s="4"/>
    </row>
    <row r="74" spans="1:52" ht="12.75">
      <c r="A74" s="4" t="s">
        <v>612</v>
      </c>
      <c r="B74" s="4">
        <v>4</v>
      </c>
      <c r="C74" s="4" t="s">
        <v>367</v>
      </c>
      <c r="D74" s="4" t="s">
        <v>383</v>
      </c>
      <c r="F74" s="4">
        <f t="shared" si="39"/>
        <v>1</v>
      </c>
      <c r="G74" s="4">
        <f t="shared" si="40"/>
        <v>1</v>
      </c>
      <c r="H74" s="4">
        <f t="shared" si="41"/>
      </c>
      <c r="I74" s="4">
        <f t="shared" si="37"/>
        <v>11</v>
      </c>
      <c r="J74" s="4">
        <f t="shared" si="42"/>
        <v>0</v>
      </c>
      <c r="K74" s="4">
        <f t="shared" si="43"/>
        <v>0</v>
      </c>
      <c r="L74" s="4">
        <f t="shared" si="48"/>
      </c>
      <c r="M74" s="4" t="str">
        <f t="shared" si="49"/>
        <v>Fire</v>
      </c>
      <c r="N74" s="4">
        <f t="shared" si="50"/>
        <v>0</v>
      </c>
      <c r="O74" s="4">
        <f t="shared" si="51"/>
        <v>0</v>
      </c>
      <c r="P74" s="4">
        <f t="shared" si="44"/>
      </c>
      <c r="Q74" s="4">
        <f t="shared" si="52"/>
        <v>0</v>
      </c>
      <c r="R74" s="4">
        <f t="shared" si="45"/>
      </c>
      <c r="S74" s="4">
        <f t="shared" si="53"/>
        <v>0</v>
      </c>
      <c r="T74" s="4">
        <f t="shared" si="54"/>
        <v>1</v>
      </c>
      <c r="U74" s="5">
        <f t="shared" si="60"/>
        <v>15</v>
      </c>
      <c r="V74" s="5">
        <f t="shared" si="55"/>
        <v>15</v>
      </c>
      <c r="X74" s="5">
        <f t="shared" si="38"/>
        <v>15</v>
      </c>
      <c r="Z74" s="5" t="s">
        <v>64</v>
      </c>
      <c r="AB74" s="5">
        <f>MIN(100,30+2*(X74+1)/2)-1</f>
        <v>45</v>
      </c>
      <c r="AD74" s="6" t="s">
        <v>601</v>
      </c>
      <c r="AE74" s="4" t="s">
        <v>789</v>
      </c>
      <c r="AH74" s="4" t="b">
        <f t="shared" si="56"/>
        <v>1</v>
      </c>
      <c r="AI74" s="4" t="s">
        <v>611</v>
      </c>
      <c r="AO74" s="4">
        <f>COUNTIF(SpellbooksOwned!$D$2:$K$49,$A74)</f>
        <v>1</v>
      </c>
      <c r="AP74" s="4">
        <f>IF(ISBLANK(AI74),0,VLOOKUP(AI74,SpellbooksOwned!$A$1:$B$49,2,FALSE))</f>
        <v>1</v>
      </c>
      <c r="AQ74" s="4">
        <f>IF(ISBLANK(AJ74),0,VLOOKUP(AJ74,SpellbooksOwned!$A$1:$B$49,2,FALSE))</f>
        <v>0</v>
      </c>
      <c r="AR74" s="4">
        <f>IF(ISBLANK(AK74),0,VLOOKUP(AK74,SpellbooksOwned!$A$1:$B$49,2,FALSE))</f>
        <v>0</v>
      </c>
      <c r="AS74" s="4">
        <f>IF(ISBLANK(AL74),0,VLOOKUP(AL74,SpellbooksOwned!$A$1:$B$49,2,FALSE))</f>
        <v>0</v>
      </c>
      <c r="AT74" s="4">
        <f>IF(ISBLANK(AM74),0,VLOOKUP(AM74,SpellbooksOwned!$A$1:$B$49,2,FALSE))</f>
        <v>0</v>
      </c>
      <c r="AU74" s="4">
        <f>IF(ISBLANK(AN74),0,VLOOKUP(AN74,SpellbooksOwned!$A$1:$B$49,2,FALSE))</f>
        <v>0</v>
      </c>
      <c r="AV74" s="4">
        <f t="shared" si="57"/>
        <v>36</v>
      </c>
      <c r="AW74" s="26">
        <f t="shared" si="58"/>
        <v>41</v>
      </c>
      <c r="AX74" s="29">
        <f t="shared" si="47"/>
        <v>0.28433880816463963</v>
      </c>
      <c r="AY74" s="4" t="str">
        <f t="shared" si="59"/>
        <v>Fair</v>
      </c>
      <c r="AZ74" s="4"/>
    </row>
    <row r="75" spans="1:52" ht="12.75">
      <c r="A75" s="4" t="s">
        <v>445</v>
      </c>
      <c r="B75" s="4">
        <v>9</v>
      </c>
      <c r="C75" s="4" t="s">
        <v>361</v>
      </c>
      <c r="D75" s="4" t="s">
        <v>367</v>
      </c>
      <c r="F75" s="4">
        <f t="shared" si="39"/>
        <v>1</v>
      </c>
      <c r="G75" s="4">
        <f t="shared" si="40"/>
        <v>1</v>
      </c>
      <c r="H75" s="4">
        <f t="shared" si="41"/>
      </c>
      <c r="I75" s="4">
        <f t="shared" si="37"/>
        <v>11</v>
      </c>
      <c r="J75" s="4">
        <f t="shared" si="42"/>
        <v>0</v>
      </c>
      <c r="K75" s="4">
        <f t="shared" si="43"/>
        <v>0</v>
      </c>
      <c r="L75" s="4">
        <f t="shared" si="48"/>
      </c>
      <c r="M75" s="4">
        <f t="shared" si="49"/>
        <v>0</v>
      </c>
      <c r="N75" s="4">
        <f t="shared" si="50"/>
      </c>
      <c r="O75" s="4" t="str">
        <f t="shared" si="51"/>
        <v>Fire</v>
      </c>
      <c r="P75" s="4">
        <f t="shared" si="44"/>
        <v>0</v>
      </c>
      <c r="Q75" s="4">
        <f t="shared" si="52"/>
        <v>0</v>
      </c>
      <c r="R75" s="4">
        <f t="shared" si="45"/>
      </c>
      <c r="S75" s="4">
        <f t="shared" si="53"/>
        <v>0</v>
      </c>
      <c r="T75" s="4">
        <f t="shared" si="54"/>
        <v>1</v>
      </c>
      <c r="U75" s="5">
        <f t="shared" si="60"/>
        <v>15</v>
      </c>
      <c r="V75" s="5">
        <f t="shared" si="55"/>
        <v>15</v>
      </c>
      <c r="W75" s="5">
        <v>200</v>
      </c>
      <c r="X75" s="5">
        <f t="shared" si="38"/>
        <v>15</v>
      </c>
      <c r="Y75" s="6">
        <f>(6*INT((15+INT(X75))/6)+1)/2</f>
        <v>15.5</v>
      </c>
      <c r="Z75" s="5" t="s">
        <v>931</v>
      </c>
      <c r="AA75" s="5">
        <f>20+INT(X75/10)</f>
        <v>21</v>
      </c>
      <c r="AB75" s="5">
        <v>1</v>
      </c>
      <c r="AD75" s="6" t="s">
        <v>141</v>
      </c>
      <c r="AE75" s="4" t="s">
        <v>846</v>
      </c>
      <c r="AF75" s="4" t="s">
        <v>979</v>
      </c>
      <c r="AH75" s="4" t="b">
        <f t="shared" si="56"/>
        <v>1</v>
      </c>
      <c r="AI75" s="4" t="s">
        <v>646</v>
      </c>
      <c r="AO75" s="4">
        <f>COUNTIF(SpellbooksOwned!$D$2:$K$49,$A75)</f>
        <v>1</v>
      </c>
      <c r="AP75" s="4">
        <f>IF(ISBLANK(AI75),0,VLOOKUP(AI75,SpellbooksOwned!$A$1:$B$49,2,FALSE))</f>
        <v>1</v>
      </c>
      <c r="AQ75" s="4">
        <f>IF(ISBLANK(AJ75),0,VLOOKUP(AJ75,SpellbooksOwned!$A$1:$B$49,2,FALSE))</f>
        <v>0</v>
      </c>
      <c r="AR75" s="4">
        <f>IF(ISBLANK(AK75),0,VLOOKUP(AK75,SpellbooksOwned!$A$1:$B$49,2,FALSE))</f>
        <v>0</v>
      </c>
      <c r="AS75" s="4">
        <f>IF(ISBLANK(AL75),0,VLOOKUP(AL75,SpellbooksOwned!$A$1:$B$49,2,FALSE))</f>
        <v>0</v>
      </c>
      <c r="AT75" s="4">
        <f>IF(ISBLANK(AM75),0,VLOOKUP(AM75,SpellbooksOwned!$A$1:$B$49,2,FALSE))</f>
        <v>0</v>
      </c>
      <c r="AU75" s="4">
        <f>IF(ISBLANK(AN75),0,VLOOKUP(AN75,SpellbooksOwned!$A$1:$B$49,2,FALSE))</f>
        <v>0</v>
      </c>
      <c r="AV75" s="4">
        <f t="shared" si="57"/>
        <v>296</v>
      </c>
      <c r="AW75" s="26">
        <f t="shared" si="58"/>
        <v>100</v>
      </c>
      <c r="AX75" s="29">
        <f t="shared" si="47"/>
        <v>0.9985109323648599</v>
      </c>
      <c r="AY75" s="4" t="str">
        <f t="shared" si="59"/>
        <v>Useless</v>
      </c>
      <c r="AZ75" s="4"/>
    </row>
    <row r="76" spans="1:52" ht="12.75">
      <c r="A76" s="4" t="s">
        <v>446</v>
      </c>
      <c r="B76" s="4">
        <v>6</v>
      </c>
      <c r="C76" s="4" t="s">
        <v>458</v>
      </c>
      <c r="F76" s="4">
        <f t="shared" si="39"/>
        <v>1</v>
      </c>
      <c r="G76" s="4">
        <f t="shared" si="40"/>
      </c>
      <c r="H76" s="4">
        <f t="shared" si="41"/>
      </c>
      <c r="I76" s="4">
        <f t="shared" si="37"/>
        <v>11</v>
      </c>
      <c r="J76" s="4">
        <f t="shared" si="42"/>
        <v>0</v>
      </c>
      <c r="K76" s="4">
        <f t="shared" si="43"/>
      </c>
      <c r="L76" s="4">
        <f t="shared" si="48"/>
      </c>
      <c r="M76" s="4">
        <f t="shared" si="49"/>
        <v>0</v>
      </c>
      <c r="N76" s="4">
        <f t="shared" si="50"/>
      </c>
      <c r="O76" s="4">
        <f t="shared" si="51"/>
        <v>0</v>
      </c>
      <c r="P76" s="4">
        <f t="shared" si="44"/>
      </c>
      <c r="Q76" s="4">
        <f t="shared" si="52"/>
        <v>0</v>
      </c>
      <c r="R76" s="4">
        <f t="shared" si="45"/>
      </c>
      <c r="S76" s="4">
        <f t="shared" si="53"/>
        <v>0</v>
      </c>
      <c r="T76" s="4">
        <f t="shared" si="54"/>
        <v>1</v>
      </c>
      <c r="U76" s="5">
        <f t="shared" si="60"/>
        <v>15</v>
      </c>
      <c r="V76" s="5">
        <f t="shared" si="55"/>
        <v>15</v>
      </c>
      <c r="X76" s="5">
        <f t="shared" si="38"/>
        <v>15</v>
      </c>
      <c r="Z76" s="5">
        <v>0</v>
      </c>
      <c r="AB76" s="5" t="s">
        <v>158</v>
      </c>
      <c r="AD76" s="6" t="s">
        <v>1147</v>
      </c>
      <c r="AE76" s="4" t="s">
        <v>834</v>
      </c>
      <c r="AH76" s="4" t="b">
        <f t="shared" si="56"/>
        <v>1</v>
      </c>
      <c r="AI76" s="4" t="s">
        <v>639</v>
      </c>
      <c r="AJ76" s="4" t="s">
        <v>1021</v>
      </c>
      <c r="AO76" s="4">
        <f>COUNTIF(SpellbooksOwned!$D$2:$K$49,$A76)</f>
        <v>2</v>
      </c>
      <c r="AP76" s="4">
        <f>IF(ISBLANK(AI76),0,VLOOKUP(AI76,SpellbooksOwned!$A$1:$B$49,2,FALSE))</f>
        <v>1</v>
      </c>
      <c r="AQ76" s="4">
        <f>IF(ISBLANK(AJ76),0,VLOOKUP(AJ76,SpellbooksOwned!$A$1:$B$49,2,FALSE))</f>
        <v>1</v>
      </c>
      <c r="AR76" s="4">
        <f>IF(ISBLANK(AK76),0,VLOOKUP(AK76,SpellbooksOwned!$A$1:$B$49,2,FALSE))</f>
        <v>0</v>
      </c>
      <c r="AS76" s="4">
        <f>IF(ISBLANK(AL76),0,VLOOKUP(AL76,SpellbooksOwned!$A$1:$B$49,2,FALSE))</f>
        <v>0</v>
      </c>
      <c r="AT76" s="4">
        <f>IF(ISBLANK(AM76),0,VLOOKUP(AM76,SpellbooksOwned!$A$1:$B$49,2,FALSE))</f>
        <v>0</v>
      </c>
      <c r="AU76" s="4">
        <f>IF(ISBLANK(AN76),0,VLOOKUP(AN76,SpellbooksOwned!$A$1:$B$49,2,FALSE))</f>
        <v>0</v>
      </c>
      <c r="AV76" s="4">
        <f t="shared" si="57"/>
        <v>116</v>
      </c>
      <c r="AW76" s="26">
        <f t="shared" si="58"/>
        <v>100</v>
      </c>
      <c r="AX76" s="29">
        <f t="shared" si="47"/>
        <v>0.9985109323648599</v>
      </c>
      <c r="AY76" s="4" t="str">
        <f t="shared" si="59"/>
        <v>Useless</v>
      </c>
      <c r="AZ76" s="4"/>
    </row>
    <row r="77" spans="1:52" ht="12.75">
      <c r="A77" s="4" t="s">
        <v>447</v>
      </c>
      <c r="B77" s="4">
        <v>7</v>
      </c>
      <c r="C77" s="4" t="s">
        <v>364</v>
      </c>
      <c r="D77" s="4" t="s">
        <v>383</v>
      </c>
      <c r="F77" s="4">
        <f t="shared" si="39"/>
        <v>1</v>
      </c>
      <c r="G77" s="4">
        <f t="shared" si="40"/>
        <v>1</v>
      </c>
      <c r="H77" s="4">
        <f t="shared" si="41"/>
      </c>
      <c r="I77" s="4">
        <f t="shared" si="37"/>
        <v>11</v>
      </c>
      <c r="J77" s="4">
        <f t="shared" si="42"/>
        <v>0</v>
      </c>
      <c r="K77" s="4">
        <f t="shared" si="43"/>
        <v>0</v>
      </c>
      <c r="L77" s="4">
        <f t="shared" si="48"/>
      </c>
      <c r="M77" s="4" t="str">
        <f t="shared" si="49"/>
        <v>Ice</v>
      </c>
      <c r="N77" s="4">
        <f t="shared" si="50"/>
        <v>0</v>
      </c>
      <c r="O77" s="4">
        <f t="shared" si="51"/>
        <v>0</v>
      </c>
      <c r="P77" s="4">
        <f t="shared" si="44"/>
      </c>
      <c r="Q77" s="4">
        <f t="shared" si="52"/>
        <v>0</v>
      </c>
      <c r="R77" s="4">
        <f t="shared" si="45"/>
      </c>
      <c r="S77" s="4">
        <f t="shared" si="53"/>
        <v>0</v>
      </c>
      <c r="T77" s="4">
        <f t="shared" si="54"/>
        <v>1</v>
      </c>
      <c r="U77" s="5">
        <f t="shared" si="60"/>
        <v>15</v>
      </c>
      <c r="V77" s="5">
        <f t="shared" si="55"/>
        <v>15</v>
      </c>
      <c r="X77" s="5">
        <f t="shared" si="38"/>
        <v>15</v>
      </c>
      <c r="Y77" s="6">
        <f>3*(5+INT(X77/7))</f>
        <v>21</v>
      </c>
      <c r="Z77" s="5" t="s">
        <v>59</v>
      </c>
      <c r="AB77" s="5">
        <v>1</v>
      </c>
      <c r="AD77" s="6" t="s">
        <v>169</v>
      </c>
      <c r="AE77" s="4" t="s">
        <v>750</v>
      </c>
      <c r="AH77" s="4" t="b">
        <f t="shared" si="56"/>
        <v>0</v>
      </c>
      <c r="AI77" s="4" t="s">
        <v>364</v>
      </c>
      <c r="AO77" s="4">
        <f>COUNTIF(SpellbooksOwned!$D$2:$K$49,$A77)</f>
        <v>1</v>
      </c>
      <c r="AP77" s="4">
        <f>IF(ISBLANK(AI77),0,VLOOKUP(AI77,SpellbooksOwned!$A$1:$B$49,2,FALSE))</f>
        <v>0</v>
      </c>
      <c r="AQ77" s="4">
        <f>IF(ISBLANK(AJ77),0,VLOOKUP(AJ77,SpellbooksOwned!$A$1:$B$49,2,FALSE))</f>
        <v>0</v>
      </c>
      <c r="AR77" s="4">
        <f>IF(ISBLANK(AK77),0,VLOOKUP(AK77,SpellbooksOwned!$A$1:$B$49,2,FALSE))</f>
        <v>0</v>
      </c>
      <c r="AS77" s="4">
        <f>IF(ISBLANK(AL77),0,VLOOKUP(AL77,SpellbooksOwned!$A$1:$B$49,2,FALSE))</f>
        <v>0</v>
      </c>
      <c r="AT77" s="4">
        <f>IF(ISBLANK(AM77),0,VLOOKUP(AM77,SpellbooksOwned!$A$1:$B$49,2,FALSE))</f>
        <v>0</v>
      </c>
      <c r="AU77" s="4">
        <f>IF(ISBLANK(AN77),0,VLOOKUP(AN77,SpellbooksOwned!$A$1:$B$49,2,FALSE))</f>
        <v>0</v>
      </c>
      <c r="AV77" s="4">
        <f t="shared" si="57"/>
        <v>166</v>
      </c>
      <c r="AW77" s="26">
        <f t="shared" si="58"/>
        <v>100</v>
      </c>
      <c r="AX77" s="29">
        <f t="shared" si="47"/>
        <v>0.9985109323648599</v>
      </c>
      <c r="AY77" s="4" t="str">
        <f t="shared" si="59"/>
        <v>Useless</v>
      </c>
      <c r="AZ77" s="4"/>
    </row>
    <row r="78" spans="1:52" ht="12.75">
      <c r="A78" s="4" t="s">
        <v>448</v>
      </c>
      <c r="B78" s="4">
        <v>4</v>
      </c>
      <c r="C78" s="4" t="s">
        <v>374</v>
      </c>
      <c r="D78" s="4" t="s">
        <v>359</v>
      </c>
      <c r="F78" s="4">
        <f t="shared" si="39"/>
        <v>1</v>
      </c>
      <c r="G78" s="4">
        <f t="shared" si="40"/>
        <v>1</v>
      </c>
      <c r="H78" s="4">
        <f t="shared" si="41"/>
      </c>
      <c r="I78" s="4">
        <f t="shared" si="37"/>
        <v>11</v>
      </c>
      <c r="J78" s="4">
        <f t="shared" si="42"/>
        <v>0</v>
      </c>
      <c r="K78" s="4">
        <f t="shared" si="43"/>
        <v>0</v>
      </c>
      <c r="L78" s="4">
        <f t="shared" si="48"/>
      </c>
      <c r="M78" s="4" t="str">
        <f t="shared" si="49"/>
        <v>Earth</v>
      </c>
      <c r="N78" s="4">
        <f t="shared" si="50"/>
        <v>0</v>
      </c>
      <c r="O78" s="4">
        <f t="shared" si="51"/>
        <v>0</v>
      </c>
      <c r="P78" s="4">
        <f t="shared" si="44"/>
      </c>
      <c r="Q78" s="4">
        <f t="shared" si="52"/>
        <v>0</v>
      </c>
      <c r="R78" s="4">
        <f t="shared" si="45"/>
      </c>
      <c r="S78" s="4">
        <f t="shared" si="53"/>
        <v>0</v>
      </c>
      <c r="T78" s="4">
        <f t="shared" si="54"/>
        <v>1</v>
      </c>
      <c r="U78" s="5">
        <f t="shared" si="60"/>
        <v>15</v>
      </c>
      <c r="V78" s="5">
        <f t="shared" si="55"/>
        <v>15</v>
      </c>
      <c r="X78" s="5">
        <f t="shared" si="38"/>
        <v>15</v>
      </c>
      <c r="Z78" s="5" t="s">
        <v>64</v>
      </c>
      <c r="AB78" s="5">
        <f>MIN(100,10+INT((X78+1)/2))</f>
        <v>18</v>
      </c>
      <c r="AD78" s="6" t="s">
        <v>909</v>
      </c>
      <c r="AE78" s="4" t="s">
        <v>827</v>
      </c>
      <c r="AH78" s="4" t="b">
        <f t="shared" si="56"/>
        <v>1</v>
      </c>
      <c r="AI78" s="4" t="s">
        <v>27</v>
      </c>
      <c r="AO78" s="4">
        <f>COUNTIF(SpellbooksOwned!$D$2:$K$49,$A78)</f>
        <v>1</v>
      </c>
      <c r="AP78" s="4">
        <f>IF(ISBLANK(AI78),0,VLOOKUP(AI78,SpellbooksOwned!$A$1:$B$49,2,FALSE))</f>
        <v>1</v>
      </c>
      <c r="AQ78" s="4">
        <f>IF(ISBLANK(AJ78),0,VLOOKUP(AJ78,SpellbooksOwned!$A$1:$B$49,2,FALSE))</f>
        <v>0</v>
      </c>
      <c r="AR78" s="4">
        <f>IF(ISBLANK(AK78),0,VLOOKUP(AK78,SpellbooksOwned!$A$1:$B$49,2,FALSE))</f>
        <v>0</v>
      </c>
      <c r="AS78" s="4">
        <f>IF(ISBLANK(AL78),0,VLOOKUP(AL78,SpellbooksOwned!$A$1:$B$49,2,FALSE))</f>
        <v>0</v>
      </c>
      <c r="AT78" s="4">
        <f>IF(ISBLANK(AM78),0,VLOOKUP(AM78,SpellbooksOwned!$A$1:$B$49,2,FALSE))</f>
        <v>0</v>
      </c>
      <c r="AU78" s="4">
        <f>IF(ISBLANK(AN78),0,VLOOKUP(AN78,SpellbooksOwned!$A$1:$B$49,2,FALSE))</f>
        <v>0</v>
      </c>
      <c r="AV78" s="4">
        <f t="shared" si="57"/>
        <v>36</v>
      </c>
      <c r="AW78" s="26">
        <f t="shared" si="58"/>
        <v>41</v>
      </c>
      <c r="AX78" s="29">
        <f t="shared" si="47"/>
        <v>0.28433880816463963</v>
      </c>
      <c r="AY78" s="4" t="str">
        <f t="shared" si="59"/>
        <v>Fair</v>
      </c>
      <c r="AZ78" s="4"/>
    </row>
    <row r="79" spans="1:52" ht="12.75">
      <c r="A79" s="4" t="s">
        <v>449</v>
      </c>
      <c r="B79" s="4">
        <v>6</v>
      </c>
      <c r="C79" s="4" t="s">
        <v>359</v>
      </c>
      <c r="F79" s="4">
        <f t="shared" si="39"/>
        <v>1</v>
      </c>
      <c r="G79" s="4">
        <f t="shared" si="40"/>
      </c>
      <c r="H79" s="4">
        <f t="shared" si="41"/>
      </c>
      <c r="I79" s="4">
        <f t="shared" si="37"/>
        <v>11</v>
      </c>
      <c r="J79" s="4">
        <f t="shared" si="42"/>
        <v>0</v>
      </c>
      <c r="K79" s="4">
        <f t="shared" si="43"/>
      </c>
      <c r="L79" s="4">
        <f t="shared" si="48"/>
      </c>
      <c r="M79" s="4">
        <f t="shared" si="49"/>
        <v>0</v>
      </c>
      <c r="N79" s="4">
        <f t="shared" si="50"/>
      </c>
      <c r="O79" s="4">
        <f t="shared" si="51"/>
        <v>0</v>
      </c>
      <c r="P79" s="4">
        <f t="shared" si="44"/>
      </c>
      <c r="Q79" s="4">
        <f t="shared" si="52"/>
        <v>0</v>
      </c>
      <c r="R79" s="4">
        <f t="shared" si="45"/>
      </c>
      <c r="S79" s="4">
        <f t="shared" si="53"/>
        <v>0</v>
      </c>
      <c r="T79" s="4">
        <f t="shared" si="54"/>
        <v>1</v>
      </c>
      <c r="U79" s="5">
        <f t="shared" si="60"/>
        <v>15</v>
      </c>
      <c r="V79" s="5">
        <f t="shared" si="55"/>
        <v>15</v>
      </c>
      <c r="X79" s="5">
        <f t="shared" si="38"/>
        <v>15</v>
      </c>
      <c r="Z79" s="5" t="s">
        <v>59</v>
      </c>
      <c r="AB79" s="5">
        <f>VLOOKUP(AG79,Enchantments!$E$8:$G$36,3,FALSE)</f>
        <v>40</v>
      </c>
      <c r="AC79" s="5">
        <f>MIN(150,40+INT(3*X79/2))-1</f>
        <v>61</v>
      </c>
      <c r="AD79" s="6" t="s">
        <v>898</v>
      </c>
      <c r="AE79" s="4" t="s">
        <v>821</v>
      </c>
      <c r="AF79" s="4" t="s">
        <v>988</v>
      </c>
      <c r="AG79" t="s">
        <v>298</v>
      </c>
      <c r="AH79" s="4" t="b">
        <f t="shared" si="56"/>
        <v>1</v>
      </c>
      <c r="AI79" s="4" t="s">
        <v>626</v>
      </c>
      <c r="AJ79" s="4" t="s">
        <v>702</v>
      </c>
      <c r="AK79" s="4" t="s">
        <v>1102</v>
      </c>
      <c r="AO79" s="4">
        <f>COUNTIF(SpellbooksOwned!$D$2:$K$49,$A79)</f>
        <v>3</v>
      </c>
      <c r="AP79" s="4">
        <f>IF(ISBLANK(AI79),0,VLOOKUP(AI79,SpellbooksOwned!$A$1:$B$49,2,FALSE))</f>
        <v>1</v>
      </c>
      <c r="AQ79" s="4">
        <f>IF(ISBLANK(AJ79),0,VLOOKUP(AJ79,SpellbooksOwned!$A$1:$B$49,2,FALSE))</f>
        <v>1</v>
      </c>
      <c r="AR79" s="4">
        <f>IF(ISBLANK(AK79),0,VLOOKUP(AK79,SpellbooksOwned!$A$1:$B$49,2,FALSE))</f>
        <v>1</v>
      </c>
      <c r="AS79" s="4">
        <f>IF(ISBLANK(AL79),0,VLOOKUP(AL79,SpellbooksOwned!$A$1:$B$49,2,FALSE))</f>
        <v>0</v>
      </c>
      <c r="AT79" s="4">
        <f>IF(ISBLANK(AM79),0,VLOOKUP(AM79,SpellbooksOwned!$A$1:$B$49,2,FALSE))</f>
        <v>0</v>
      </c>
      <c r="AU79" s="4">
        <f>IF(ISBLANK(AN79),0,VLOOKUP(AN79,SpellbooksOwned!$A$1:$B$49,2,FALSE))</f>
        <v>0</v>
      </c>
      <c r="AV79" s="4">
        <f t="shared" si="57"/>
        <v>116</v>
      </c>
      <c r="AW79" s="26">
        <f t="shared" si="58"/>
        <v>100</v>
      </c>
      <c r="AX79" s="29">
        <f t="shared" si="47"/>
        <v>0.9985109323648599</v>
      </c>
      <c r="AY79" s="4" t="str">
        <f t="shared" si="59"/>
        <v>Useless</v>
      </c>
      <c r="AZ79" s="4"/>
    </row>
    <row r="80" spans="1:52" ht="12.75">
      <c r="A80" s="4" t="s">
        <v>450</v>
      </c>
      <c r="B80" s="4">
        <v>4</v>
      </c>
      <c r="C80" s="4" t="s">
        <v>361</v>
      </c>
      <c r="F80" s="4">
        <f t="shared" si="39"/>
        <v>1</v>
      </c>
      <c r="G80" s="4">
        <f t="shared" si="40"/>
      </c>
      <c r="H80" s="4">
        <f t="shared" si="41"/>
      </c>
      <c r="I80" s="4">
        <f t="shared" si="37"/>
        <v>11</v>
      </c>
      <c r="J80" s="4">
        <f t="shared" si="42"/>
        <v>0</v>
      </c>
      <c r="K80" s="4">
        <f t="shared" si="43"/>
      </c>
      <c r="L80" s="4">
        <f t="shared" si="48"/>
      </c>
      <c r="M80" s="4">
        <f t="shared" si="49"/>
        <v>0</v>
      </c>
      <c r="N80" s="4">
        <f t="shared" si="50"/>
      </c>
      <c r="O80" s="4">
        <f t="shared" si="51"/>
        <v>0</v>
      </c>
      <c r="P80" s="4">
        <f t="shared" si="44"/>
      </c>
      <c r="Q80" s="4">
        <f t="shared" si="52"/>
        <v>0</v>
      </c>
      <c r="R80" s="4">
        <f t="shared" si="45"/>
      </c>
      <c r="S80" s="4">
        <f t="shared" si="53"/>
        <v>0</v>
      </c>
      <c r="T80" s="4">
        <f t="shared" si="54"/>
        <v>1</v>
      </c>
      <c r="U80" s="5">
        <f t="shared" si="60"/>
        <v>15</v>
      </c>
      <c r="V80" s="5">
        <f t="shared" si="55"/>
        <v>15</v>
      </c>
      <c r="W80" s="5">
        <v>100</v>
      </c>
      <c r="X80" s="5">
        <f t="shared" si="38"/>
        <v>15</v>
      </c>
      <c r="Y80" s="6">
        <f>(3*INT((15+INT(2*X80/5))/3)+1)/2</f>
        <v>11</v>
      </c>
      <c r="Z80" s="5" t="s">
        <v>933</v>
      </c>
      <c r="AA80" s="5">
        <f>10+INT(X80/7)</f>
        <v>12</v>
      </c>
      <c r="AB80" s="5">
        <v>1</v>
      </c>
      <c r="AD80" s="6" t="s">
        <v>928</v>
      </c>
      <c r="AE80" s="4" t="s">
        <v>842</v>
      </c>
      <c r="AF80" s="4" t="s">
        <v>962</v>
      </c>
      <c r="AH80" s="4" t="b">
        <f t="shared" si="56"/>
        <v>1</v>
      </c>
      <c r="AI80" s="4" t="s">
        <v>646</v>
      </c>
      <c r="AO80" s="4">
        <f>COUNTIF(SpellbooksOwned!$D$2:$K$49,$A80)</f>
        <v>1</v>
      </c>
      <c r="AP80" s="4">
        <f>IF(ISBLANK(AI80),0,VLOOKUP(AI80,SpellbooksOwned!$A$1:$B$49,2,FALSE))</f>
        <v>1</v>
      </c>
      <c r="AQ80" s="4">
        <f>IF(ISBLANK(AJ80),0,VLOOKUP(AJ80,SpellbooksOwned!$A$1:$B$49,2,FALSE))</f>
        <v>0</v>
      </c>
      <c r="AR80" s="4">
        <f>IF(ISBLANK(AK80),0,VLOOKUP(AK80,SpellbooksOwned!$A$1:$B$49,2,FALSE))</f>
        <v>0</v>
      </c>
      <c r="AS80" s="4">
        <f>IF(ISBLANK(AL80),0,VLOOKUP(AL80,SpellbooksOwned!$A$1:$B$49,2,FALSE))</f>
        <v>0</v>
      </c>
      <c r="AT80" s="4">
        <f>IF(ISBLANK(AM80),0,VLOOKUP(AM80,SpellbooksOwned!$A$1:$B$49,2,FALSE))</f>
        <v>0</v>
      </c>
      <c r="AU80" s="4">
        <f>IF(ISBLANK(AN80),0,VLOOKUP(AN80,SpellbooksOwned!$A$1:$B$49,2,FALSE))</f>
        <v>0</v>
      </c>
      <c r="AV80" s="4">
        <f t="shared" si="57"/>
        <v>36</v>
      </c>
      <c r="AW80" s="26">
        <f t="shared" si="58"/>
        <v>41</v>
      </c>
      <c r="AX80" s="29">
        <f t="shared" si="47"/>
        <v>0.28433880816463963</v>
      </c>
      <c r="AY80" s="4" t="str">
        <f t="shared" si="59"/>
        <v>Fair</v>
      </c>
      <c r="AZ80" s="4"/>
    </row>
    <row r="81" spans="1:52" ht="12.75">
      <c r="A81" s="4" t="s">
        <v>451</v>
      </c>
      <c r="B81" s="4">
        <v>5</v>
      </c>
      <c r="C81" s="4" t="s">
        <v>373</v>
      </c>
      <c r="D81" s="4" t="s">
        <v>383</v>
      </c>
      <c r="F81" s="4">
        <f t="shared" si="39"/>
        <v>1</v>
      </c>
      <c r="G81" s="4">
        <f t="shared" si="40"/>
        <v>1</v>
      </c>
      <c r="H81" s="4">
        <f t="shared" si="41"/>
      </c>
      <c r="I81" s="4">
        <f t="shared" si="37"/>
        <v>11</v>
      </c>
      <c r="J81" s="4">
        <f t="shared" si="42"/>
        <v>0</v>
      </c>
      <c r="K81" s="4">
        <f t="shared" si="43"/>
        <v>0</v>
      </c>
      <c r="L81" s="4">
        <f t="shared" si="48"/>
      </c>
      <c r="M81" s="4" t="str">
        <f t="shared" si="49"/>
        <v>Air</v>
      </c>
      <c r="N81" s="4">
        <f t="shared" si="50"/>
        <v>0</v>
      </c>
      <c r="O81" s="4">
        <f t="shared" si="51"/>
        <v>0</v>
      </c>
      <c r="P81" s="4">
        <f t="shared" si="44"/>
      </c>
      <c r="Q81" s="4">
        <f t="shared" si="52"/>
        <v>0</v>
      </c>
      <c r="R81" s="4">
        <f t="shared" si="45"/>
      </c>
      <c r="S81" s="4">
        <f t="shared" si="53"/>
        <v>0</v>
      </c>
      <c r="T81" s="4">
        <f t="shared" si="54"/>
        <v>1</v>
      </c>
      <c r="U81" s="5">
        <f t="shared" si="60"/>
        <v>15</v>
      </c>
      <c r="V81" s="5">
        <f t="shared" si="55"/>
        <v>15</v>
      </c>
      <c r="X81" s="5">
        <f t="shared" si="38"/>
        <v>15</v>
      </c>
      <c r="Y81" s="6">
        <f>3*(5+INT(X81/10))</f>
        <v>18</v>
      </c>
      <c r="Z81" s="5" t="s">
        <v>59</v>
      </c>
      <c r="AA81" s="5" t="s">
        <v>149</v>
      </c>
      <c r="AB81" s="5">
        <v>1</v>
      </c>
      <c r="AD81" s="6" t="s">
        <v>175</v>
      </c>
      <c r="AE81" s="4" t="s">
        <v>853</v>
      </c>
      <c r="AH81" s="4" t="b">
        <f t="shared" si="56"/>
        <v>1</v>
      </c>
      <c r="AI81" s="4" t="s">
        <v>39</v>
      </c>
      <c r="AJ81" s="4" t="s">
        <v>659</v>
      </c>
      <c r="AO81" s="4">
        <f>COUNTIF(SpellbooksOwned!$D$2:$K$49,$A81)</f>
        <v>2</v>
      </c>
      <c r="AP81" s="4">
        <f>IF(ISBLANK(AI81),0,VLOOKUP(AI81,SpellbooksOwned!$A$1:$B$49,2,FALSE))</f>
        <v>0</v>
      </c>
      <c r="AQ81" s="4">
        <f>IF(ISBLANK(AJ81),0,VLOOKUP(AJ81,SpellbooksOwned!$A$1:$B$49,2,FALSE))</f>
        <v>1</v>
      </c>
      <c r="AR81" s="4">
        <f>IF(ISBLANK(AK81),0,VLOOKUP(AK81,SpellbooksOwned!$A$1:$B$49,2,FALSE))</f>
        <v>0</v>
      </c>
      <c r="AS81" s="4">
        <f>IF(ISBLANK(AL81),0,VLOOKUP(AL81,SpellbooksOwned!$A$1:$B$49,2,FALSE))</f>
        <v>0</v>
      </c>
      <c r="AT81" s="4">
        <f>IF(ISBLANK(AM81),0,VLOOKUP(AM81,SpellbooksOwned!$A$1:$B$49,2,FALSE))</f>
        <v>0</v>
      </c>
      <c r="AU81" s="4">
        <f>IF(ISBLANK(AN81),0,VLOOKUP(AN81,SpellbooksOwned!$A$1:$B$49,2,FALSE))</f>
        <v>0</v>
      </c>
      <c r="AV81" s="4">
        <f t="shared" si="57"/>
        <v>66</v>
      </c>
      <c r="AW81" s="26">
        <f t="shared" si="58"/>
        <v>66</v>
      </c>
      <c r="AX81" s="29">
        <f t="shared" si="47"/>
        <v>0.8238144797733274</v>
      </c>
      <c r="AY81" s="4" t="str">
        <f t="shared" si="59"/>
        <v>Very Poor</v>
      </c>
      <c r="AZ81" s="4"/>
    </row>
    <row r="82" spans="1:52" ht="12.75">
      <c r="A82" s="4" t="s">
        <v>452</v>
      </c>
      <c r="B82" s="4">
        <v>8</v>
      </c>
      <c r="C82" s="4" t="s">
        <v>361</v>
      </c>
      <c r="D82" s="4" t="s">
        <v>373</v>
      </c>
      <c r="F82" s="4">
        <f t="shared" si="39"/>
        <v>1</v>
      </c>
      <c r="G82" s="4">
        <f t="shared" si="40"/>
        <v>1</v>
      </c>
      <c r="H82" s="4">
        <f t="shared" si="41"/>
      </c>
      <c r="I82" s="4">
        <f t="shared" si="37"/>
        <v>11</v>
      </c>
      <c r="J82" s="4">
        <f t="shared" si="42"/>
        <v>0</v>
      </c>
      <c r="K82" s="4">
        <f t="shared" si="43"/>
        <v>0</v>
      </c>
      <c r="L82" s="4">
        <f t="shared" si="48"/>
      </c>
      <c r="M82" s="4">
        <f t="shared" si="49"/>
        <v>0</v>
      </c>
      <c r="N82" s="4">
        <f t="shared" si="50"/>
      </c>
      <c r="O82" s="4" t="str">
        <f t="shared" si="51"/>
        <v>Air</v>
      </c>
      <c r="P82" s="4">
        <f t="shared" si="44"/>
        <v>0</v>
      </c>
      <c r="Q82" s="4">
        <f t="shared" si="52"/>
        <v>0</v>
      </c>
      <c r="R82" s="4">
        <f t="shared" si="45"/>
      </c>
      <c r="S82" s="4">
        <f t="shared" si="53"/>
        <v>0</v>
      </c>
      <c r="T82" s="4">
        <f t="shared" si="54"/>
        <v>1</v>
      </c>
      <c r="U82" s="5">
        <f t="shared" si="60"/>
        <v>15</v>
      </c>
      <c r="V82" s="5">
        <f t="shared" si="55"/>
        <v>15</v>
      </c>
      <c r="W82" s="5">
        <v>200</v>
      </c>
      <c r="X82" s="5">
        <f t="shared" si="38"/>
        <v>15</v>
      </c>
      <c r="Y82" s="6">
        <f>(12*INT((30+INT(4*X82/3))/12)+1)/2</f>
        <v>24.5</v>
      </c>
      <c r="Z82" s="5" t="s">
        <v>939</v>
      </c>
      <c r="AA82" s="5">
        <f>10+INT(X82/15)</f>
        <v>11</v>
      </c>
      <c r="AB82" s="5">
        <v>1</v>
      </c>
      <c r="AD82" s="6" t="s">
        <v>928</v>
      </c>
      <c r="AE82" s="4" t="s">
        <v>845</v>
      </c>
      <c r="AH82" s="4" t="b">
        <f t="shared" si="56"/>
        <v>1</v>
      </c>
      <c r="AI82" s="4" t="s">
        <v>646</v>
      </c>
      <c r="AO82" s="4">
        <f>COUNTIF(SpellbooksOwned!$D$2:$K$49,$A82)</f>
        <v>1</v>
      </c>
      <c r="AP82" s="4">
        <f>IF(ISBLANK(AI82),0,VLOOKUP(AI82,SpellbooksOwned!$A$1:$B$49,2,FALSE))</f>
        <v>1</v>
      </c>
      <c r="AQ82" s="4">
        <f>IF(ISBLANK(AJ82),0,VLOOKUP(AJ82,SpellbooksOwned!$A$1:$B$49,2,FALSE))</f>
        <v>0</v>
      </c>
      <c r="AR82" s="4">
        <f>IF(ISBLANK(AK82),0,VLOOKUP(AK82,SpellbooksOwned!$A$1:$B$49,2,FALSE))</f>
        <v>0</v>
      </c>
      <c r="AS82" s="4">
        <f>IF(ISBLANK(AL82),0,VLOOKUP(AL82,SpellbooksOwned!$A$1:$B$49,2,FALSE))</f>
        <v>0</v>
      </c>
      <c r="AT82" s="4">
        <f>IF(ISBLANK(AM82),0,VLOOKUP(AM82,SpellbooksOwned!$A$1:$B$49,2,FALSE))</f>
        <v>0</v>
      </c>
      <c r="AU82" s="4">
        <f>IF(ISBLANK(AN82),0,VLOOKUP(AN82,SpellbooksOwned!$A$1:$B$49,2,FALSE))</f>
        <v>0</v>
      </c>
      <c r="AV82" s="4">
        <f t="shared" si="57"/>
        <v>226</v>
      </c>
      <c r="AW82" s="26">
        <f t="shared" si="58"/>
        <v>100</v>
      </c>
      <c r="AX82" s="29">
        <f t="shared" si="47"/>
        <v>0.9985109323648599</v>
      </c>
      <c r="AY82" s="4" t="str">
        <f t="shared" si="59"/>
        <v>Useless</v>
      </c>
      <c r="AZ82" s="4"/>
    </row>
    <row r="83" spans="1:52" ht="12.75">
      <c r="A83" s="4" t="s">
        <v>875</v>
      </c>
      <c r="B83" s="4">
        <v>2</v>
      </c>
      <c r="C83" s="4" t="s">
        <v>589</v>
      </c>
      <c r="F83" s="4">
        <f t="shared" si="39"/>
        <v>6</v>
      </c>
      <c r="G83" s="4">
        <f t="shared" si="40"/>
      </c>
      <c r="H83" s="4">
        <f t="shared" si="41"/>
      </c>
      <c r="I83" s="4">
        <f t="shared" si="37"/>
        <v>21</v>
      </c>
      <c r="J83" s="4">
        <f t="shared" si="42"/>
        <v>0</v>
      </c>
      <c r="K83" s="4">
        <f t="shared" si="43"/>
      </c>
      <c r="L83" s="4">
        <f t="shared" si="48"/>
      </c>
      <c r="M83" s="4">
        <f t="shared" si="49"/>
        <v>0</v>
      </c>
      <c r="N83" s="4">
        <f t="shared" si="50"/>
      </c>
      <c r="O83" s="4">
        <f t="shared" si="51"/>
        <v>0</v>
      </c>
      <c r="P83" s="4">
        <f t="shared" si="44"/>
      </c>
      <c r="Q83" s="4">
        <f t="shared" si="52"/>
        <v>0</v>
      </c>
      <c r="R83" s="4">
        <f t="shared" si="45"/>
      </c>
      <c r="S83" s="4">
        <f t="shared" si="53"/>
        <v>0</v>
      </c>
      <c r="T83" s="4">
        <f t="shared" si="54"/>
        <v>1</v>
      </c>
      <c r="U83" s="5">
        <f t="shared" si="60"/>
        <v>29</v>
      </c>
      <c r="V83" s="5">
        <f t="shared" si="55"/>
        <v>29</v>
      </c>
      <c r="X83" s="5">
        <f t="shared" si="38"/>
        <v>29</v>
      </c>
      <c r="Y83" s="6">
        <f>2-5-(5+1)/2</f>
        <v>-6</v>
      </c>
      <c r="Z83" s="5" t="s">
        <v>64</v>
      </c>
      <c r="AB83" s="5">
        <v>1</v>
      </c>
      <c r="AE83" s="4" t="s">
        <v>803</v>
      </c>
      <c r="AH83" s="4" t="b">
        <f t="shared" si="56"/>
        <v>0</v>
      </c>
      <c r="AI83" s="4" t="s">
        <v>806</v>
      </c>
      <c r="AO83" s="4">
        <f>COUNTIF(SpellbooksOwned!$D$2:$K$49,$A83)</f>
        <v>1</v>
      </c>
      <c r="AP83" s="4">
        <f>IF(ISBLANK(AI83),0,VLOOKUP(AI83,SpellbooksOwned!$A$1:$B$49,2,FALSE))</f>
        <v>0</v>
      </c>
      <c r="AQ83" s="4">
        <f>IF(ISBLANK(AJ83),0,VLOOKUP(AJ83,SpellbooksOwned!$A$1:$B$49,2,FALSE))</f>
        <v>0</v>
      </c>
      <c r="AR83" s="4">
        <f>IF(ISBLANK(AK83),0,VLOOKUP(AK83,SpellbooksOwned!$A$1:$B$49,2,FALSE))</f>
        <v>0</v>
      </c>
      <c r="AS83" s="4">
        <f>IF(ISBLANK(AL83),0,VLOOKUP(AL83,SpellbooksOwned!$A$1:$B$49,2,FALSE))</f>
        <v>0</v>
      </c>
      <c r="AT83" s="4">
        <f>IF(ISBLANK(AM83),0,VLOOKUP(AM83,SpellbooksOwned!$A$1:$B$49,2,FALSE))</f>
        <v>0</v>
      </c>
      <c r="AU83" s="4">
        <f>IF(ISBLANK(AN83),0,VLOOKUP(AN83,SpellbooksOwned!$A$1:$B$49,2,FALSE))</f>
        <v>0</v>
      </c>
      <c r="AV83" s="4">
        <f t="shared" si="57"/>
        <v>-79</v>
      </c>
      <c r="AW83" s="26">
        <f t="shared" si="58"/>
        <v>12</v>
      </c>
      <c r="AX83" s="29">
        <f t="shared" si="47"/>
        <v>0.01044405023461148</v>
      </c>
      <c r="AY83" s="4" t="str">
        <f t="shared" si="59"/>
        <v>Great</v>
      </c>
      <c r="AZ83" s="4"/>
    </row>
    <row r="84" spans="1:52" ht="12.75">
      <c r="A84" s="4" t="s">
        <v>453</v>
      </c>
      <c r="B84" s="4">
        <v>2</v>
      </c>
      <c r="C84" s="4" t="s">
        <v>359</v>
      </c>
      <c r="D84" s="4" t="s">
        <v>371</v>
      </c>
      <c r="F84" s="4">
        <f t="shared" si="39"/>
        <v>1</v>
      </c>
      <c r="G84" s="4">
        <f t="shared" si="40"/>
        <v>1</v>
      </c>
      <c r="H84" s="4">
        <f t="shared" si="41"/>
      </c>
      <c r="I84" s="4">
        <f t="shared" si="37"/>
        <v>11</v>
      </c>
      <c r="J84" s="4">
        <f t="shared" si="42"/>
        <v>0</v>
      </c>
      <c r="K84" s="4">
        <f t="shared" si="43"/>
        <v>0</v>
      </c>
      <c r="L84" s="4">
        <f t="shared" si="48"/>
      </c>
      <c r="M84" s="4">
        <f t="shared" si="49"/>
        <v>0</v>
      </c>
      <c r="N84" s="4">
        <f t="shared" si="50"/>
      </c>
      <c r="O84" s="4">
        <f t="shared" si="51"/>
        <v>0</v>
      </c>
      <c r="P84" s="4">
        <f t="shared" si="44"/>
      </c>
      <c r="Q84" s="4">
        <f t="shared" si="52"/>
        <v>0</v>
      </c>
      <c r="R84" s="4">
        <f t="shared" si="45"/>
      </c>
      <c r="S84" s="4">
        <f t="shared" si="53"/>
        <v>0</v>
      </c>
      <c r="T84" s="4">
        <f t="shared" si="54"/>
        <v>1</v>
      </c>
      <c r="U84" s="5">
        <f t="shared" si="60"/>
        <v>15</v>
      </c>
      <c r="V84" s="5">
        <f t="shared" si="55"/>
        <v>15</v>
      </c>
      <c r="X84" s="5">
        <f t="shared" si="38"/>
        <v>15</v>
      </c>
      <c r="Z84" s="5">
        <v>0</v>
      </c>
      <c r="AB84" s="5">
        <f>MIN(50,12+2*INT((X84+1)/2))</f>
        <v>28</v>
      </c>
      <c r="AD84" s="6" t="s">
        <v>76</v>
      </c>
      <c r="AE84" s="4" t="s">
        <v>781</v>
      </c>
      <c r="AH84" s="4" t="b">
        <f t="shared" si="56"/>
        <v>0</v>
      </c>
      <c r="AI84" s="4" t="s">
        <v>609</v>
      </c>
      <c r="AO84" s="4">
        <f>COUNTIF(SpellbooksOwned!$D$2:$K$49,$A84)</f>
        <v>1</v>
      </c>
      <c r="AP84" s="4">
        <f>IF(ISBLANK(AI84),0,VLOOKUP(AI84,SpellbooksOwned!$A$1:$B$49,2,FALSE))</f>
        <v>0</v>
      </c>
      <c r="AQ84" s="4">
        <f>IF(ISBLANK(AJ84),0,VLOOKUP(AJ84,SpellbooksOwned!$A$1:$B$49,2,FALSE))</f>
        <v>0</v>
      </c>
      <c r="AR84" s="4">
        <f>IF(ISBLANK(AK84),0,VLOOKUP(AK84,SpellbooksOwned!$A$1:$B$49,2,FALSE))</f>
        <v>0</v>
      </c>
      <c r="AS84" s="4">
        <f>IF(ISBLANK(AL84),0,VLOOKUP(AL84,SpellbooksOwned!$A$1:$B$49,2,FALSE))</f>
        <v>0</v>
      </c>
      <c r="AT84" s="4">
        <f>IF(ISBLANK(AM84),0,VLOOKUP(AM84,SpellbooksOwned!$A$1:$B$49,2,FALSE))</f>
        <v>0</v>
      </c>
      <c r="AU84" s="4">
        <f>IF(ISBLANK(AN84),0,VLOOKUP(AN84,SpellbooksOwned!$A$1:$B$49,2,FALSE))</f>
        <v>0</v>
      </c>
      <c r="AV84" s="4">
        <f t="shared" si="57"/>
        <v>-19</v>
      </c>
      <c r="AW84" s="26">
        <f t="shared" si="58"/>
        <v>22</v>
      </c>
      <c r="AX84" s="29">
        <f t="shared" si="47"/>
        <v>0.043632902942498775</v>
      </c>
      <c r="AY84" s="4" t="str">
        <f t="shared" si="59"/>
        <v>Very Good</v>
      </c>
      <c r="AZ84" s="4"/>
    </row>
    <row r="85" spans="1:52" ht="12.75">
      <c r="A85" s="4" t="s">
        <v>454</v>
      </c>
      <c r="B85" s="4">
        <v>2</v>
      </c>
      <c r="C85" s="4" t="s">
        <v>374</v>
      </c>
      <c r="D85" s="4" t="s">
        <v>359</v>
      </c>
      <c r="F85" s="4">
        <f t="shared" si="39"/>
        <v>1</v>
      </c>
      <c r="G85" s="4">
        <f t="shared" si="40"/>
        <v>1</v>
      </c>
      <c r="H85" s="4">
        <f t="shared" si="41"/>
      </c>
      <c r="I85" s="4">
        <f t="shared" si="37"/>
        <v>11</v>
      </c>
      <c r="J85" s="4">
        <f t="shared" si="42"/>
        <v>0</v>
      </c>
      <c r="K85" s="4">
        <f t="shared" si="43"/>
        <v>0</v>
      </c>
      <c r="L85" s="4">
        <f t="shared" si="48"/>
      </c>
      <c r="M85" s="4" t="str">
        <f t="shared" si="49"/>
        <v>Earth</v>
      </c>
      <c r="N85" s="4">
        <f t="shared" si="50"/>
        <v>0</v>
      </c>
      <c r="O85" s="4">
        <f t="shared" si="51"/>
        <v>0</v>
      </c>
      <c r="P85" s="4">
        <f t="shared" si="44"/>
      </c>
      <c r="Q85" s="4">
        <f t="shared" si="52"/>
        <v>0</v>
      </c>
      <c r="R85" s="4">
        <f t="shared" si="45"/>
      </c>
      <c r="S85" s="4">
        <f t="shared" si="53"/>
        <v>0</v>
      </c>
      <c r="T85" s="4">
        <f t="shared" si="54"/>
        <v>1</v>
      </c>
      <c r="U85" s="5">
        <f t="shared" si="60"/>
        <v>15</v>
      </c>
      <c r="V85" s="5">
        <f t="shared" si="55"/>
        <v>15</v>
      </c>
      <c r="X85" s="5">
        <f t="shared" si="38"/>
        <v>15</v>
      </c>
      <c r="Z85" s="5" t="s">
        <v>64</v>
      </c>
      <c r="AB85" s="34">
        <f>MIN(100,25+INT(X85/2))-3</f>
        <v>29</v>
      </c>
      <c r="AC85" s="34"/>
      <c r="AE85" s="4" t="s">
        <v>766</v>
      </c>
      <c r="AH85" s="4" t="b">
        <f t="shared" si="56"/>
        <v>1</v>
      </c>
      <c r="AI85" s="4" t="s">
        <v>593</v>
      </c>
      <c r="AJ85" s="4" t="s">
        <v>374</v>
      </c>
      <c r="AK85" s="4" t="s">
        <v>682</v>
      </c>
      <c r="AO85" s="4">
        <f>COUNTIF(SpellbooksOwned!$D$2:$K$49,$A85)</f>
        <v>3</v>
      </c>
      <c r="AP85" s="4">
        <f>IF(ISBLANK(AI85),0,VLOOKUP(AI85,SpellbooksOwned!$A$1:$B$49,2,FALSE))</f>
        <v>0</v>
      </c>
      <c r="AQ85" s="4">
        <f>IF(ISBLANK(AJ85),0,VLOOKUP(AJ85,SpellbooksOwned!$A$1:$B$49,2,FALSE))</f>
        <v>0</v>
      </c>
      <c r="AR85" s="4">
        <f>IF(ISBLANK(AK85),0,VLOOKUP(AK85,SpellbooksOwned!$A$1:$B$49,2,FALSE))</f>
        <v>1</v>
      </c>
      <c r="AS85" s="4">
        <f>IF(ISBLANK(AL85),0,VLOOKUP(AL85,SpellbooksOwned!$A$1:$B$49,2,FALSE))</f>
        <v>0</v>
      </c>
      <c r="AT85" s="4">
        <f>IF(ISBLANK(AM85),0,VLOOKUP(AM85,SpellbooksOwned!$A$1:$B$49,2,FALSE))</f>
        <v>0</v>
      </c>
      <c r="AU85" s="4">
        <f>IF(ISBLANK(AN85),0,VLOOKUP(AN85,SpellbooksOwned!$A$1:$B$49,2,FALSE))</f>
        <v>0</v>
      </c>
      <c r="AV85" s="4">
        <f t="shared" si="57"/>
        <v>-19</v>
      </c>
      <c r="AW85" s="26">
        <f t="shared" si="58"/>
        <v>22</v>
      </c>
      <c r="AX85" s="29">
        <f t="shared" si="47"/>
        <v>0.043632902942498775</v>
      </c>
      <c r="AY85" s="4" t="str">
        <f t="shared" si="59"/>
        <v>Very Good</v>
      </c>
      <c r="AZ85" s="4"/>
    </row>
    <row r="86" spans="1:52" ht="12.75">
      <c r="A86" s="4" t="s">
        <v>455</v>
      </c>
      <c r="B86" s="4">
        <v>6</v>
      </c>
      <c r="C86" s="4" t="s">
        <v>374</v>
      </c>
      <c r="D86" s="4" t="s">
        <v>361</v>
      </c>
      <c r="F86" s="4">
        <f t="shared" si="39"/>
        <v>1</v>
      </c>
      <c r="G86" s="4">
        <f t="shared" si="40"/>
        <v>1</v>
      </c>
      <c r="H86" s="4">
        <f t="shared" si="41"/>
      </c>
      <c r="I86" s="4">
        <f t="shared" si="37"/>
        <v>11</v>
      </c>
      <c r="J86" s="4">
        <f t="shared" si="42"/>
        <v>0</v>
      </c>
      <c r="K86" s="4">
        <f t="shared" si="43"/>
        <v>0</v>
      </c>
      <c r="L86" s="4">
        <f t="shared" si="48"/>
      </c>
      <c r="M86" s="4" t="str">
        <f t="shared" si="49"/>
        <v>Earth</v>
      </c>
      <c r="N86" s="4">
        <f t="shared" si="50"/>
        <v>0</v>
      </c>
      <c r="O86" s="4">
        <f t="shared" si="51"/>
        <v>0</v>
      </c>
      <c r="P86" s="4">
        <f t="shared" si="44"/>
      </c>
      <c r="Q86" s="4">
        <f t="shared" si="52"/>
        <v>0</v>
      </c>
      <c r="R86" s="4">
        <f t="shared" si="45"/>
      </c>
      <c r="S86" s="4">
        <f t="shared" si="53"/>
        <v>0</v>
      </c>
      <c r="T86" s="4">
        <f t="shared" si="54"/>
        <v>1</v>
      </c>
      <c r="U86" s="5">
        <f t="shared" si="60"/>
        <v>15</v>
      </c>
      <c r="V86" s="5">
        <f t="shared" si="55"/>
        <v>15</v>
      </c>
      <c r="W86" s="5">
        <v>200</v>
      </c>
      <c r="X86" s="5">
        <f t="shared" si="38"/>
        <v>15</v>
      </c>
      <c r="Y86" s="6">
        <f>(1*INT((10+INT(3*X86/5))/1)+1)/2</f>
        <v>10</v>
      </c>
      <c r="Z86" s="5" t="s">
        <v>944</v>
      </c>
      <c r="AA86" s="5">
        <f>7+INT((X86+1)/2/20)</f>
        <v>7</v>
      </c>
      <c r="AB86" s="5">
        <v>1</v>
      </c>
      <c r="AD86" s="6" t="s">
        <v>1101</v>
      </c>
      <c r="AE86" s="4" t="s">
        <v>777</v>
      </c>
      <c r="AH86" s="4" t="b">
        <f t="shared" si="56"/>
        <v>1</v>
      </c>
      <c r="AI86" s="4" t="s">
        <v>1014</v>
      </c>
      <c r="AJ86" s="4" t="s">
        <v>27</v>
      </c>
      <c r="AO86" s="4">
        <f>COUNTIF(SpellbooksOwned!$D$2:$K$49,$A86)</f>
        <v>2</v>
      </c>
      <c r="AP86" s="4">
        <f>IF(ISBLANK(AI86),0,VLOOKUP(AI86,SpellbooksOwned!$A$1:$B$49,2,FALSE))</f>
        <v>1</v>
      </c>
      <c r="AQ86" s="4">
        <f>IF(ISBLANK(AJ86),0,VLOOKUP(AJ86,SpellbooksOwned!$A$1:$B$49,2,FALSE))</f>
        <v>1</v>
      </c>
      <c r="AR86" s="4">
        <f>IF(ISBLANK(AK86),0,VLOOKUP(AK86,SpellbooksOwned!$A$1:$B$49,2,FALSE))</f>
        <v>0</v>
      </c>
      <c r="AS86" s="4">
        <f>IF(ISBLANK(AL86),0,VLOOKUP(AL86,SpellbooksOwned!$A$1:$B$49,2,FALSE))</f>
        <v>0</v>
      </c>
      <c r="AT86" s="4">
        <f>IF(ISBLANK(AM86),0,VLOOKUP(AM86,SpellbooksOwned!$A$1:$B$49,2,FALSE))</f>
        <v>0</v>
      </c>
      <c r="AU86" s="4">
        <f>IF(ISBLANK(AN86),0,VLOOKUP(AN86,SpellbooksOwned!$A$1:$B$49,2,FALSE))</f>
        <v>0</v>
      </c>
      <c r="AV86" s="4">
        <f t="shared" si="57"/>
        <v>116</v>
      </c>
      <c r="AW86" s="26">
        <f t="shared" si="58"/>
        <v>100</v>
      </c>
      <c r="AX86" s="29">
        <f t="shared" si="47"/>
        <v>0.9985109323648599</v>
      </c>
      <c r="AY86" s="4" t="str">
        <f t="shared" si="59"/>
        <v>Useless</v>
      </c>
      <c r="AZ86" s="4"/>
    </row>
    <row r="87" spans="1:52" ht="12.75">
      <c r="A87" s="4" t="s">
        <v>456</v>
      </c>
      <c r="B87" s="4">
        <v>1</v>
      </c>
      <c r="C87" s="4" t="s">
        <v>361</v>
      </c>
      <c r="F87" s="4">
        <f t="shared" si="39"/>
        <v>1</v>
      </c>
      <c r="G87" s="4">
        <f t="shared" si="40"/>
      </c>
      <c r="H87" s="4">
        <f t="shared" si="41"/>
      </c>
      <c r="I87" s="4">
        <f t="shared" si="37"/>
        <v>11</v>
      </c>
      <c r="J87" s="4">
        <f t="shared" si="42"/>
        <v>0</v>
      </c>
      <c r="K87" s="4">
        <f t="shared" si="43"/>
      </c>
      <c r="L87" s="4">
        <f t="shared" si="48"/>
      </c>
      <c r="M87" s="4">
        <f t="shared" si="49"/>
        <v>0</v>
      </c>
      <c r="N87" s="4">
        <f t="shared" si="50"/>
      </c>
      <c r="O87" s="4">
        <f t="shared" si="51"/>
        <v>0</v>
      </c>
      <c r="P87" s="4">
        <f t="shared" si="44"/>
      </c>
      <c r="Q87" s="4">
        <f t="shared" si="52"/>
        <v>0</v>
      </c>
      <c r="R87" s="4">
        <f t="shared" si="45"/>
      </c>
      <c r="S87" s="4">
        <f t="shared" si="53"/>
        <v>0</v>
      </c>
      <c r="T87" s="4">
        <f t="shared" si="54"/>
        <v>1</v>
      </c>
      <c r="U87" s="5">
        <f t="shared" si="60"/>
        <v>15</v>
      </c>
      <c r="V87" s="5">
        <f t="shared" si="55"/>
        <v>15</v>
      </c>
      <c r="W87" s="5">
        <v>25</v>
      </c>
      <c r="X87" s="5">
        <f t="shared" si="38"/>
        <v>15</v>
      </c>
      <c r="Y87" s="6">
        <f>1*(3+INT(X87/5)+1)/2</f>
        <v>3.5</v>
      </c>
      <c r="Z87" s="5" t="s">
        <v>933</v>
      </c>
      <c r="AA87" s="5">
        <v>1500</v>
      </c>
      <c r="AB87" s="5">
        <v>1</v>
      </c>
      <c r="AD87" s="6" t="s">
        <v>928</v>
      </c>
      <c r="AE87" s="4" t="s">
        <v>704</v>
      </c>
      <c r="AF87" s="4" t="s">
        <v>949</v>
      </c>
      <c r="AH87" s="4" t="b">
        <f t="shared" si="56"/>
        <v>1</v>
      </c>
      <c r="AI87" s="4" t="s">
        <v>1028</v>
      </c>
      <c r="AJ87" s="4" t="s">
        <v>1029</v>
      </c>
      <c r="AO87" s="4">
        <f>COUNTIF(SpellbooksOwned!$D$2:$K$49,$A87)</f>
        <v>7</v>
      </c>
      <c r="AP87" s="4">
        <f>IF(ISBLANK(AI87),0,VLOOKUP(AI87,SpellbooksOwned!$A$1:$B$49,2,FALSE))</f>
        <v>1</v>
      </c>
      <c r="AQ87" s="4">
        <f>IF(ISBLANK(AJ87),0,VLOOKUP(AJ87,SpellbooksOwned!$A$1:$B$49,2,FALSE))</f>
        <v>1</v>
      </c>
      <c r="AR87" s="4">
        <f>IF(ISBLANK(AK87),0,VLOOKUP(AK87,SpellbooksOwned!$A$1:$B$49,2,FALSE))</f>
        <v>0</v>
      </c>
      <c r="AS87" s="4">
        <f>IF(ISBLANK(AL87),0,VLOOKUP(AL87,SpellbooksOwned!$A$1:$B$49,2,FALSE))</f>
        <v>0</v>
      </c>
      <c r="AT87" s="4">
        <f>IF(ISBLANK(AM87),0,VLOOKUP(AM87,SpellbooksOwned!$A$1:$B$49,2,FALSE))</f>
        <v>0</v>
      </c>
      <c r="AU87" s="4">
        <f>IF(ISBLANK(AN87),0,VLOOKUP(AN87,SpellbooksOwned!$A$1:$B$49,2,FALSE))</f>
        <v>0</v>
      </c>
      <c r="AV87" s="4">
        <f t="shared" si="57"/>
        <v>-31</v>
      </c>
      <c r="AW87" s="26">
        <f t="shared" si="58"/>
        <v>18</v>
      </c>
      <c r="AX87" s="29">
        <f t="shared" si="47"/>
        <v>0.025587989795647026</v>
      </c>
      <c r="AY87" s="4" t="str">
        <f t="shared" si="59"/>
        <v>Great</v>
      </c>
      <c r="AZ87" s="4"/>
    </row>
    <row r="88" spans="1:52" ht="12.75">
      <c r="A88" s="4" t="s">
        <v>457</v>
      </c>
      <c r="B88" s="4">
        <v>4</v>
      </c>
      <c r="C88" s="4" t="s">
        <v>458</v>
      </c>
      <c r="D88" s="4" t="s">
        <v>373</v>
      </c>
      <c r="F88" s="4">
        <f t="shared" si="39"/>
        <v>1</v>
      </c>
      <c r="G88" s="4">
        <f t="shared" si="40"/>
        <v>1</v>
      </c>
      <c r="H88" s="4">
        <f t="shared" si="41"/>
      </c>
      <c r="I88" s="4">
        <f t="shared" si="37"/>
        <v>11</v>
      </c>
      <c r="J88" s="4">
        <f t="shared" si="42"/>
        <v>0</v>
      </c>
      <c r="K88" s="4">
        <f t="shared" si="43"/>
        <v>0</v>
      </c>
      <c r="L88" s="4">
        <f t="shared" si="48"/>
      </c>
      <c r="M88" s="4">
        <f t="shared" si="49"/>
        <v>0</v>
      </c>
      <c r="N88" s="4">
        <f t="shared" si="50"/>
      </c>
      <c r="O88" s="4" t="str">
        <f t="shared" si="51"/>
        <v>Air</v>
      </c>
      <c r="P88" s="4">
        <f t="shared" si="44"/>
        <v>0</v>
      </c>
      <c r="Q88" s="4">
        <f t="shared" si="52"/>
        <v>0</v>
      </c>
      <c r="R88" s="4">
        <f t="shared" si="45"/>
      </c>
      <c r="S88" s="4">
        <f t="shared" si="53"/>
        <v>0</v>
      </c>
      <c r="T88" s="4">
        <f t="shared" si="54"/>
        <v>1</v>
      </c>
      <c r="U88" s="5">
        <f t="shared" si="60"/>
        <v>15</v>
      </c>
      <c r="V88" s="5">
        <f t="shared" si="55"/>
        <v>15</v>
      </c>
      <c r="X88" s="5">
        <f t="shared" si="38"/>
        <v>15</v>
      </c>
      <c r="Z88" s="34" t="s">
        <v>739</v>
      </c>
      <c r="AB88" s="5" t="s">
        <v>158</v>
      </c>
      <c r="AD88" s="6" t="s">
        <v>740</v>
      </c>
      <c r="AE88" s="4" t="s">
        <v>761</v>
      </c>
      <c r="AH88" s="4" t="b">
        <f t="shared" si="56"/>
        <v>1</v>
      </c>
      <c r="AI88" s="4" t="s">
        <v>591</v>
      </c>
      <c r="AJ88" s="4" t="s">
        <v>37</v>
      </c>
      <c r="AK88" s="4" t="s">
        <v>1021</v>
      </c>
      <c r="AO88" s="4">
        <f>COUNTIF(SpellbooksOwned!$D$2:$K$49,$A88)</f>
        <v>3</v>
      </c>
      <c r="AP88" s="4">
        <f>IF(ISBLANK(AI88),0,VLOOKUP(AI88,SpellbooksOwned!$A$1:$B$49,2,FALSE))</f>
        <v>1</v>
      </c>
      <c r="AQ88" s="4">
        <f>IF(ISBLANK(AJ88),0,VLOOKUP(AJ88,SpellbooksOwned!$A$1:$B$49,2,FALSE))</f>
        <v>1</v>
      </c>
      <c r="AR88" s="4">
        <f>IF(ISBLANK(AK88),0,VLOOKUP(AK88,SpellbooksOwned!$A$1:$B$49,2,FALSE))</f>
        <v>1</v>
      </c>
      <c r="AS88" s="4">
        <f>IF(ISBLANK(AL88),0,VLOOKUP(AL88,SpellbooksOwned!$A$1:$B$49,2,FALSE))</f>
        <v>0</v>
      </c>
      <c r="AT88" s="4">
        <f>IF(ISBLANK(AM88),0,VLOOKUP(AM88,SpellbooksOwned!$A$1:$B$49,2,FALSE))</f>
        <v>0</v>
      </c>
      <c r="AU88" s="4">
        <f>IF(ISBLANK(AN88),0,VLOOKUP(AN88,SpellbooksOwned!$A$1:$B$49,2,FALSE))</f>
        <v>0</v>
      </c>
      <c r="AV88" s="4">
        <f t="shared" si="57"/>
        <v>36</v>
      </c>
      <c r="AW88" s="26">
        <f t="shared" si="58"/>
        <v>41</v>
      </c>
      <c r="AX88" s="29">
        <f t="shared" si="47"/>
        <v>0.28433880816463963</v>
      </c>
      <c r="AY88" s="4" t="str">
        <f t="shared" si="59"/>
        <v>Fair</v>
      </c>
      <c r="AZ88" s="4"/>
    </row>
    <row r="89" spans="1:52" ht="12.75">
      <c r="A89" s="4" t="s">
        <v>459</v>
      </c>
      <c r="B89" s="4">
        <v>6</v>
      </c>
      <c r="C89" s="4" t="s">
        <v>359</v>
      </c>
      <c r="F89" s="4">
        <f t="shared" si="39"/>
        <v>1</v>
      </c>
      <c r="G89" s="4">
        <f t="shared" si="40"/>
      </c>
      <c r="H89" s="4">
        <f t="shared" si="41"/>
      </c>
      <c r="I89" s="4">
        <f t="shared" si="37"/>
        <v>11</v>
      </c>
      <c r="J89" s="4">
        <f t="shared" si="42"/>
        <v>0</v>
      </c>
      <c r="K89" s="4">
        <f t="shared" si="43"/>
      </c>
      <c r="L89" s="4">
        <f t="shared" si="48"/>
      </c>
      <c r="M89" s="4">
        <f t="shared" si="49"/>
        <v>0</v>
      </c>
      <c r="N89" s="4">
        <f t="shared" si="50"/>
      </c>
      <c r="O89" s="4">
        <f t="shared" si="51"/>
        <v>0</v>
      </c>
      <c r="P89" s="4">
        <f t="shared" si="44"/>
      </c>
      <c r="Q89" s="4">
        <f t="shared" si="52"/>
        <v>0</v>
      </c>
      <c r="R89" s="4">
        <f t="shared" si="45"/>
      </c>
      <c r="S89" s="4">
        <f t="shared" si="53"/>
        <v>0</v>
      </c>
      <c r="T89" s="4">
        <f t="shared" si="54"/>
        <v>1</v>
      </c>
      <c r="U89" s="5">
        <f t="shared" si="60"/>
        <v>15</v>
      </c>
      <c r="V89" s="5">
        <f t="shared" si="55"/>
        <v>15</v>
      </c>
      <c r="X89" s="5">
        <f t="shared" si="38"/>
        <v>15</v>
      </c>
      <c r="Z89" s="5" t="s">
        <v>59</v>
      </c>
      <c r="AB89" s="5">
        <f>VLOOKUP(AG89,Enchantments!$E$8:$G$36,3,FALSE)</f>
        <v>8</v>
      </c>
      <c r="AC89" s="5">
        <f>INT(X89*1.5)</f>
        <v>22</v>
      </c>
      <c r="AD89" s="6" t="s">
        <v>317</v>
      </c>
      <c r="AE89" s="4" t="s">
        <v>852</v>
      </c>
      <c r="AG89" t="s">
        <v>297</v>
      </c>
      <c r="AH89" s="4" t="b">
        <f t="shared" si="56"/>
        <v>1</v>
      </c>
      <c r="AI89" s="4" t="s">
        <v>1020</v>
      </c>
      <c r="AJ89" s="4" t="s">
        <v>702</v>
      </c>
      <c r="AO89" s="4">
        <f>COUNTIF(SpellbooksOwned!$D$2:$K$49,$A89)</f>
        <v>2</v>
      </c>
      <c r="AP89" s="4">
        <f>IF(ISBLANK(AI89),0,VLOOKUP(AI89,SpellbooksOwned!$A$1:$B$49,2,FALSE))</f>
        <v>0</v>
      </c>
      <c r="AQ89" s="4">
        <f>IF(ISBLANK(AJ89),0,VLOOKUP(AJ89,SpellbooksOwned!$A$1:$B$49,2,FALSE))</f>
        <v>1</v>
      </c>
      <c r="AR89" s="4">
        <f>IF(ISBLANK(AK89),0,VLOOKUP(AK89,SpellbooksOwned!$A$1:$B$49,2,FALSE))</f>
        <v>0</v>
      </c>
      <c r="AS89" s="4">
        <f>IF(ISBLANK(AL89),0,VLOOKUP(AL89,SpellbooksOwned!$A$1:$B$49,2,FALSE))</f>
        <v>0</v>
      </c>
      <c r="AT89" s="4">
        <f>IF(ISBLANK(AM89),0,VLOOKUP(AM89,SpellbooksOwned!$A$1:$B$49,2,FALSE))</f>
        <v>0</v>
      </c>
      <c r="AU89" s="4">
        <f>IF(ISBLANK(AN89),0,VLOOKUP(AN89,SpellbooksOwned!$A$1:$B$49,2,FALSE))</f>
        <v>0</v>
      </c>
      <c r="AV89" s="4">
        <f t="shared" si="57"/>
        <v>116</v>
      </c>
      <c r="AW89" s="26">
        <f t="shared" si="58"/>
        <v>100</v>
      </c>
      <c r="AX89" s="29">
        <f t="shared" si="47"/>
        <v>0.9985109323648599</v>
      </c>
      <c r="AY89" s="4" t="str">
        <f t="shared" si="59"/>
        <v>Useless</v>
      </c>
      <c r="AZ89" s="4"/>
    </row>
    <row r="90" spans="1:52" ht="12.75">
      <c r="A90" s="4" t="s">
        <v>460</v>
      </c>
      <c r="B90" s="4">
        <v>2</v>
      </c>
      <c r="C90" s="4" t="s">
        <v>373</v>
      </c>
      <c r="D90" s="4" t="s">
        <v>359</v>
      </c>
      <c r="F90" s="4">
        <f t="shared" si="39"/>
        <v>1</v>
      </c>
      <c r="G90" s="4">
        <f t="shared" si="40"/>
        <v>1</v>
      </c>
      <c r="H90" s="4">
        <f t="shared" si="41"/>
      </c>
      <c r="I90" s="4">
        <f t="shared" si="37"/>
        <v>11</v>
      </c>
      <c r="J90" s="4">
        <f t="shared" si="42"/>
        <v>0</v>
      </c>
      <c r="K90" s="4">
        <f t="shared" si="43"/>
        <v>0</v>
      </c>
      <c r="L90" s="4">
        <f t="shared" si="48"/>
      </c>
      <c r="M90" s="4" t="str">
        <f t="shared" si="49"/>
        <v>Air</v>
      </c>
      <c r="N90" s="4">
        <f t="shared" si="50"/>
        <v>0</v>
      </c>
      <c r="O90" s="4">
        <f t="shared" si="51"/>
        <v>0</v>
      </c>
      <c r="P90" s="4">
        <f t="shared" si="44"/>
      </c>
      <c r="Q90" s="4">
        <f t="shared" si="52"/>
        <v>0</v>
      </c>
      <c r="R90" s="4">
        <f t="shared" si="45"/>
      </c>
      <c r="S90" s="4">
        <f t="shared" si="53"/>
        <v>0</v>
      </c>
      <c r="T90" s="4">
        <f t="shared" si="54"/>
        <v>1</v>
      </c>
      <c r="U90" s="5">
        <f t="shared" si="60"/>
        <v>15</v>
      </c>
      <c r="V90" s="5">
        <f t="shared" si="55"/>
        <v>15</v>
      </c>
      <c r="X90" s="5">
        <f t="shared" si="38"/>
        <v>15</v>
      </c>
      <c r="Z90" s="5">
        <v>0</v>
      </c>
      <c r="AB90" s="5">
        <f>MIN(50,10+2*INT((X90+1)/2))</f>
        <v>26</v>
      </c>
      <c r="AD90" s="6" t="s">
        <v>602</v>
      </c>
      <c r="AE90" s="4" t="s">
        <v>860</v>
      </c>
      <c r="AH90" s="4" t="b">
        <f t="shared" si="56"/>
        <v>1</v>
      </c>
      <c r="AI90" s="4" t="s">
        <v>37</v>
      </c>
      <c r="AO90" s="4">
        <f>COUNTIF(SpellbooksOwned!$D$2:$K$49,$A90)</f>
        <v>1</v>
      </c>
      <c r="AP90" s="4">
        <f>IF(ISBLANK(AI90),0,VLOOKUP(AI90,SpellbooksOwned!$A$1:$B$49,2,FALSE))</f>
        <v>1</v>
      </c>
      <c r="AQ90" s="4">
        <f>IF(ISBLANK(AJ90),0,VLOOKUP(AJ90,SpellbooksOwned!$A$1:$B$49,2,FALSE))</f>
        <v>0</v>
      </c>
      <c r="AR90" s="4">
        <f>IF(ISBLANK(AK90),0,VLOOKUP(AK90,SpellbooksOwned!$A$1:$B$49,2,FALSE))</f>
        <v>0</v>
      </c>
      <c r="AS90" s="4">
        <f>IF(ISBLANK(AL90),0,VLOOKUP(AL90,SpellbooksOwned!$A$1:$B$49,2,FALSE))</f>
        <v>0</v>
      </c>
      <c r="AT90" s="4">
        <f>IF(ISBLANK(AM90),0,VLOOKUP(AM90,SpellbooksOwned!$A$1:$B$49,2,FALSE))</f>
        <v>0</v>
      </c>
      <c r="AU90" s="4">
        <f>IF(ISBLANK(AN90),0,VLOOKUP(AN90,SpellbooksOwned!$A$1:$B$49,2,FALSE))</f>
        <v>0</v>
      </c>
      <c r="AV90" s="4">
        <f t="shared" si="57"/>
        <v>-19</v>
      </c>
      <c r="AW90" s="26">
        <f t="shared" si="58"/>
        <v>22</v>
      </c>
      <c r="AX90" s="29">
        <f t="shared" si="47"/>
        <v>0.043632902942498775</v>
      </c>
      <c r="AY90" s="4" t="str">
        <f t="shared" si="59"/>
        <v>Very Good</v>
      </c>
      <c r="AZ90" s="4"/>
    </row>
    <row r="91" spans="1:52" ht="12.75">
      <c r="A91" s="4" t="s">
        <v>461</v>
      </c>
      <c r="B91" s="4">
        <v>3</v>
      </c>
      <c r="C91" s="4" t="s">
        <v>374</v>
      </c>
      <c r="D91" s="4" t="s">
        <v>361</v>
      </c>
      <c r="E91" s="4" t="s">
        <v>420</v>
      </c>
      <c r="F91" s="4">
        <f t="shared" si="39"/>
        <v>1</v>
      </c>
      <c r="G91" s="4">
        <f t="shared" si="40"/>
        <v>1</v>
      </c>
      <c r="H91" s="4">
        <f t="shared" si="41"/>
        <v>1</v>
      </c>
      <c r="I91" s="4">
        <f t="shared" si="37"/>
        <v>11</v>
      </c>
      <c r="J91" s="4">
        <f t="shared" si="42"/>
        <v>0</v>
      </c>
      <c r="K91" s="4">
        <f t="shared" si="43"/>
        <v>0</v>
      </c>
      <c r="L91" s="4">
        <f t="shared" si="48"/>
        <v>0</v>
      </c>
      <c r="M91" s="4" t="str">
        <f t="shared" si="49"/>
        <v>Earth</v>
      </c>
      <c r="N91" s="4">
        <f t="shared" si="50"/>
        <v>0</v>
      </c>
      <c r="O91" s="4">
        <f t="shared" si="51"/>
        <v>0</v>
      </c>
      <c r="P91" s="4">
        <f t="shared" si="44"/>
      </c>
      <c r="Q91" s="4">
        <f t="shared" si="52"/>
        <v>0</v>
      </c>
      <c r="R91" s="4">
        <f t="shared" si="45"/>
      </c>
      <c r="S91" s="4">
        <f t="shared" si="53"/>
        <v>0</v>
      </c>
      <c r="T91" s="4">
        <f t="shared" si="54"/>
        <v>1</v>
      </c>
      <c r="U91" s="5">
        <f t="shared" si="60"/>
        <v>15</v>
      </c>
      <c r="V91" s="5">
        <f t="shared" si="55"/>
        <v>15</v>
      </c>
      <c r="W91" s="5">
        <v>100</v>
      </c>
      <c r="X91" s="5">
        <f t="shared" si="38"/>
        <v>15</v>
      </c>
      <c r="Y91" s="6">
        <v>1</v>
      </c>
      <c r="Z91" s="5">
        <v>6</v>
      </c>
      <c r="AA91" s="5">
        <v>20</v>
      </c>
      <c r="AB91" s="5">
        <f>1+(4/2)+(INT(X91/50)+1+1)/2</f>
        <v>4</v>
      </c>
      <c r="AD91" s="6" t="s">
        <v>603</v>
      </c>
      <c r="AE91" s="4" t="s">
        <v>709</v>
      </c>
      <c r="AH91" s="4" t="b">
        <f t="shared" si="56"/>
        <v>1</v>
      </c>
      <c r="AI91" s="4" t="s">
        <v>1028</v>
      </c>
      <c r="AJ91" s="4" t="s">
        <v>1013</v>
      </c>
      <c r="AK91" s="4" t="s">
        <v>608</v>
      </c>
      <c r="AL91" s="4" t="s">
        <v>1018</v>
      </c>
      <c r="AM91" s="4" t="s">
        <v>374</v>
      </c>
      <c r="AN91" s="4" t="s">
        <v>1102</v>
      </c>
      <c r="AO91" s="4">
        <f>COUNTIF(SpellbooksOwned!$D$2:$K$49,$A91)</f>
        <v>9</v>
      </c>
      <c r="AP91" s="4">
        <f>IF(ISBLANK(AI91),0,VLOOKUP(AI91,SpellbooksOwned!$A$1:$B$49,2,FALSE))</f>
        <v>1</v>
      </c>
      <c r="AQ91" s="4">
        <f>IF(ISBLANK(AJ91),0,VLOOKUP(AJ91,SpellbooksOwned!$A$1:$B$49,2,FALSE))</f>
        <v>1</v>
      </c>
      <c r="AR91" s="4">
        <f>IF(ISBLANK(AK91),0,VLOOKUP(AK91,SpellbooksOwned!$A$1:$B$49,2,FALSE))</f>
        <v>1</v>
      </c>
      <c r="AS91" s="4">
        <f>IF(ISBLANK(AL91),0,VLOOKUP(AL91,SpellbooksOwned!$A$1:$B$49,2,FALSE))</f>
        <v>0</v>
      </c>
      <c r="AT91" s="4">
        <f>IF(ISBLANK(AM91),0,VLOOKUP(AM91,SpellbooksOwned!$A$1:$B$49,2,FALSE))</f>
        <v>0</v>
      </c>
      <c r="AU91" s="4">
        <f>IF(ISBLANK(AN91),0,VLOOKUP(AN91,SpellbooksOwned!$A$1:$B$49,2,FALSE))</f>
        <v>1</v>
      </c>
      <c r="AV91" s="4">
        <f t="shared" si="57"/>
        <v>1</v>
      </c>
      <c r="AW91" s="26">
        <f t="shared" si="58"/>
        <v>28</v>
      </c>
      <c r="AX91" s="29">
        <f t="shared" si="47"/>
        <v>0.08850805170850018</v>
      </c>
      <c r="AY91" s="4" t="str">
        <f t="shared" si="59"/>
        <v>Very Good</v>
      </c>
      <c r="AZ91" s="4"/>
    </row>
    <row r="92" spans="1:52" ht="12.75">
      <c r="A92" s="4" t="s">
        <v>462</v>
      </c>
      <c r="B92" s="4">
        <v>7</v>
      </c>
      <c r="C92" s="4" t="s">
        <v>359</v>
      </c>
      <c r="D92" s="4" t="s">
        <v>367</v>
      </c>
      <c r="F92" s="4">
        <f t="shared" si="39"/>
        <v>1</v>
      </c>
      <c r="G92" s="4">
        <f t="shared" si="40"/>
        <v>1</v>
      </c>
      <c r="H92" s="4">
        <f t="shared" si="41"/>
      </c>
      <c r="I92" s="4">
        <f t="shared" si="37"/>
        <v>11</v>
      </c>
      <c r="J92" s="4">
        <f t="shared" si="42"/>
        <v>0</v>
      </c>
      <c r="K92" s="4">
        <f t="shared" si="43"/>
        <v>0</v>
      </c>
      <c r="L92" s="4">
        <f t="shared" si="48"/>
      </c>
      <c r="M92" s="4">
        <f t="shared" si="49"/>
        <v>0</v>
      </c>
      <c r="N92" s="4">
        <f t="shared" si="50"/>
      </c>
      <c r="O92" s="4" t="str">
        <f t="shared" si="51"/>
        <v>Fire</v>
      </c>
      <c r="P92" s="4">
        <f t="shared" si="44"/>
        <v>0</v>
      </c>
      <c r="Q92" s="4">
        <f t="shared" si="52"/>
        <v>0</v>
      </c>
      <c r="R92" s="4">
        <f t="shared" si="45"/>
      </c>
      <c r="S92" s="4">
        <f t="shared" si="53"/>
        <v>0</v>
      </c>
      <c r="T92" s="4">
        <f t="shared" si="54"/>
        <v>1</v>
      </c>
      <c r="U92" s="5">
        <f t="shared" si="60"/>
        <v>15</v>
      </c>
      <c r="V92" s="5">
        <f t="shared" si="55"/>
        <v>15</v>
      </c>
      <c r="X92" s="5">
        <f t="shared" si="38"/>
        <v>15</v>
      </c>
      <c r="Z92" s="5" t="s">
        <v>59</v>
      </c>
      <c r="AB92" s="5" t="s">
        <v>905</v>
      </c>
      <c r="AC92" s="5">
        <f>INT(X92*1.5)</f>
        <v>22</v>
      </c>
      <c r="AD92" s="6" t="s">
        <v>899</v>
      </c>
      <c r="AE92" s="4" t="s">
        <v>756</v>
      </c>
      <c r="AH92" s="4" t="b">
        <f t="shared" si="56"/>
        <v>1</v>
      </c>
      <c r="AI92" s="4" t="s">
        <v>367</v>
      </c>
      <c r="AJ92" s="4" t="s">
        <v>1020</v>
      </c>
      <c r="AO92" s="4">
        <f>COUNTIF(SpellbooksOwned!$D$2:$K$49,$A92)</f>
        <v>2</v>
      </c>
      <c r="AP92" s="4">
        <f>IF(ISBLANK(AI92),0,VLOOKUP(AI92,SpellbooksOwned!$A$1:$B$49,2,FALSE))</f>
        <v>1</v>
      </c>
      <c r="AQ92" s="4">
        <f>IF(ISBLANK(AJ92),0,VLOOKUP(AJ92,SpellbooksOwned!$A$1:$B$49,2,FALSE))</f>
        <v>0</v>
      </c>
      <c r="AR92" s="4">
        <f>IF(ISBLANK(AK92),0,VLOOKUP(AK92,SpellbooksOwned!$A$1:$B$49,2,FALSE))</f>
        <v>0</v>
      </c>
      <c r="AS92" s="4">
        <f>IF(ISBLANK(AL92),0,VLOOKUP(AL92,SpellbooksOwned!$A$1:$B$49,2,FALSE))</f>
        <v>0</v>
      </c>
      <c r="AT92" s="4">
        <f>IF(ISBLANK(AM92),0,VLOOKUP(AM92,SpellbooksOwned!$A$1:$B$49,2,FALSE))</f>
        <v>0</v>
      </c>
      <c r="AU92" s="4">
        <f>IF(ISBLANK(AN92),0,VLOOKUP(AN92,SpellbooksOwned!$A$1:$B$49,2,FALSE))</f>
        <v>0</v>
      </c>
      <c r="AV92" s="4">
        <f t="shared" si="57"/>
        <v>166</v>
      </c>
      <c r="AW92" s="26">
        <f t="shared" si="58"/>
        <v>100</v>
      </c>
      <c r="AX92" s="29">
        <f t="shared" si="47"/>
        <v>0.9985109323648599</v>
      </c>
      <c r="AY92" s="4" t="str">
        <f t="shared" si="59"/>
        <v>Useless</v>
      </c>
      <c r="AZ92" s="4"/>
    </row>
    <row r="93" spans="1:52" ht="12.75">
      <c r="A93" s="4" t="s">
        <v>463</v>
      </c>
      <c r="B93" s="4">
        <v>8</v>
      </c>
      <c r="C93" s="4" t="s">
        <v>371</v>
      </c>
      <c r="D93" s="4" t="s">
        <v>383</v>
      </c>
      <c r="F93" s="4">
        <f t="shared" si="39"/>
        <v>1</v>
      </c>
      <c r="G93" s="4">
        <f t="shared" si="40"/>
        <v>1</v>
      </c>
      <c r="H93" s="4">
        <f t="shared" si="41"/>
      </c>
      <c r="I93" s="4">
        <f t="shared" si="37"/>
        <v>11</v>
      </c>
      <c r="J93" s="4">
        <f t="shared" si="42"/>
        <v>0</v>
      </c>
      <c r="K93" s="4">
        <f t="shared" si="43"/>
        <v>0</v>
      </c>
      <c r="L93" s="4">
        <f t="shared" si="48"/>
      </c>
      <c r="M93" s="4">
        <f t="shared" si="49"/>
        <v>0</v>
      </c>
      <c r="N93" s="4">
        <f t="shared" si="50"/>
      </c>
      <c r="O93" s="4">
        <f t="shared" si="51"/>
        <v>0</v>
      </c>
      <c r="P93" s="4">
        <f t="shared" si="44"/>
      </c>
      <c r="Q93" s="4">
        <f t="shared" si="52"/>
        <v>0</v>
      </c>
      <c r="R93" s="4">
        <f t="shared" si="45"/>
      </c>
      <c r="S93" s="4">
        <f t="shared" si="53"/>
        <v>0</v>
      </c>
      <c r="T93" s="4">
        <f t="shared" si="54"/>
        <v>1</v>
      </c>
      <c r="U93" s="5">
        <f t="shared" si="60"/>
        <v>15</v>
      </c>
      <c r="V93" s="5">
        <f t="shared" si="55"/>
        <v>15</v>
      </c>
      <c r="X93" s="5">
        <f t="shared" si="38"/>
        <v>15</v>
      </c>
      <c r="Z93" s="5" t="s">
        <v>64</v>
      </c>
      <c r="AB93" s="5">
        <f>MIN(100,20+2*(X93+1)/2)-1</f>
        <v>35</v>
      </c>
      <c r="AD93" s="6" t="s">
        <v>604</v>
      </c>
      <c r="AE93" s="4" t="s">
        <v>814</v>
      </c>
      <c r="AH93" s="4" t="b">
        <f t="shared" si="56"/>
        <v>0</v>
      </c>
      <c r="AI93" s="4" t="s">
        <v>622</v>
      </c>
      <c r="AO93" s="4">
        <f>COUNTIF(SpellbooksOwned!$D$2:$K$49,$A93)</f>
        <v>1</v>
      </c>
      <c r="AP93" s="4">
        <f>IF(ISBLANK(AI93),0,VLOOKUP(AI93,SpellbooksOwned!$A$1:$B$49,2,FALSE))</f>
        <v>0</v>
      </c>
      <c r="AQ93" s="4">
        <f>IF(ISBLANK(AJ93),0,VLOOKUP(AJ93,SpellbooksOwned!$A$1:$B$49,2,FALSE))</f>
        <v>0</v>
      </c>
      <c r="AR93" s="4">
        <f>IF(ISBLANK(AK93),0,VLOOKUP(AK93,SpellbooksOwned!$A$1:$B$49,2,FALSE))</f>
        <v>0</v>
      </c>
      <c r="AS93" s="4">
        <f>IF(ISBLANK(AL93),0,VLOOKUP(AL93,SpellbooksOwned!$A$1:$B$49,2,FALSE))</f>
        <v>0</v>
      </c>
      <c r="AT93" s="4">
        <f>IF(ISBLANK(AM93),0,VLOOKUP(AM93,SpellbooksOwned!$A$1:$B$49,2,FALSE))</f>
        <v>0</v>
      </c>
      <c r="AU93" s="4">
        <f>IF(ISBLANK(AN93),0,VLOOKUP(AN93,SpellbooksOwned!$A$1:$B$49,2,FALSE))</f>
        <v>0</v>
      </c>
      <c r="AV93" s="4">
        <f t="shared" si="57"/>
        <v>226</v>
      </c>
      <c r="AW93" s="26">
        <f t="shared" si="58"/>
        <v>100</v>
      </c>
      <c r="AX93" s="29">
        <f t="shared" si="47"/>
        <v>0.9985109323648599</v>
      </c>
      <c r="AY93" s="4" t="str">
        <f t="shared" si="59"/>
        <v>Useless</v>
      </c>
      <c r="AZ93" s="4"/>
    </row>
    <row r="94" spans="1:52" ht="12.75">
      <c r="A94" s="4" t="s">
        <v>464</v>
      </c>
      <c r="B94" s="4">
        <v>4</v>
      </c>
      <c r="C94" s="4" t="s">
        <v>420</v>
      </c>
      <c r="F94" s="4">
        <f t="shared" si="39"/>
        <v>1</v>
      </c>
      <c r="G94" s="4">
        <f t="shared" si="40"/>
      </c>
      <c r="H94" s="4">
        <f t="shared" si="41"/>
      </c>
      <c r="I94" s="4">
        <f t="shared" si="37"/>
        <v>11</v>
      </c>
      <c r="J94" s="4">
        <f t="shared" si="42"/>
        <v>0</v>
      </c>
      <c r="K94" s="4">
        <f t="shared" si="43"/>
      </c>
      <c r="L94" s="4">
        <f t="shared" si="48"/>
      </c>
      <c r="M94" s="4">
        <f t="shared" si="49"/>
        <v>0</v>
      </c>
      <c r="N94" s="4">
        <f t="shared" si="50"/>
      </c>
      <c r="O94" s="4">
        <f t="shared" si="51"/>
        <v>0</v>
      </c>
      <c r="P94" s="4">
        <f t="shared" si="44"/>
      </c>
      <c r="Q94" s="4">
        <f t="shared" si="52"/>
        <v>0</v>
      </c>
      <c r="R94" s="4">
        <f t="shared" si="45"/>
      </c>
      <c r="S94" s="4">
        <f t="shared" si="53"/>
        <v>0</v>
      </c>
      <c r="T94" s="4">
        <f t="shared" si="54"/>
        <v>1</v>
      </c>
      <c r="U94" s="5">
        <f t="shared" si="60"/>
        <v>15</v>
      </c>
      <c r="V94" s="5">
        <f t="shared" si="55"/>
        <v>15</v>
      </c>
      <c r="X94" s="5">
        <f t="shared" si="38"/>
        <v>15</v>
      </c>
      <c r="Z94" s="5" t="s">
        <v>59</v>
      </c>
      <c r="AB94" s="5">
        <v>1</v>
      </c>
      <c r="AD94" s="6" t="s">
        <v>88</v>
      </c>
      <c r="AE94" s="4" t="s">
        <v>841</v>
      </c>
      <c r="AH94" s="4" t="b">
        <f t="shared" si="56"/>
        <v>0</v>
      </c>
      <c r="AI94" s="4" t="s">
        <v>644</v>
      </c>
      <c r="AO94" s="4">
        <f>COUNTIF(SpellbooksOwned!$D$2:$K$49,$A94)</f>
        <v>1</v>
      </c>
      <c r="AP94" s="4">
        <f>IF(ISBLANK(AI94),0,VLOOKUP(AI94,SpellbooksOwned!$A$1:$B$49,2,FALSE))</f>
        <v>0</v>
      </c>
      <c r="AQ94" s="4">
        <f>IF(ISBLANK(AJ94),0,VLOOKUP(AJ94,SpellbooksOwned!$A$1:$B$49,2,FALSE))</f>
        <v>0</v>
      </c>
      <c r="AR94" s="4">
        <f>IF(ISBLANK(AK94),0,VLOOKUP(AK94,SpellbooksOwned!$A$1:$B$49,2,FALSE))</f>
        <v>0</v>
      </c>
      <c r="AS94" s="4">
        <f>IF(ISBLANK(AL94),0,VLOOKUP(AL94,SpellbooksOwned!$A$1:$B$49,2,FALSE))</f>
        <v>0</v>
      </c>
      <c r="AT94" s="4">
        <f>IF(ISBLANK(AM94),0,VLOOKUP(AM94,SpellbooksOwned!$A$1:$B$49,2,FALSE))</f>
        <v>0</v>
      </c>
      <c r="AU94" s="4">
        <f>IF(ISBLANK(AN94),0,VLOOKUP(AN94,SpellbooksOwned!$A$1:$B$49,2,FALSE))</f>
        <v>0</v>
      </c>
      <c r="AV94" s="4">
        <f t="shared" si="57"/>
        <v>36</v>
      </c>
      <c r="AW94" s="26">
        <f t="shared" si="58"/>
        <v>41</v>
      </c>
      <c r="AX94" s="29">
        <f t="shared" si="47"/>
        <v>0.28433880816463963</v>
      </c>
      <c r="AY94" s="4" t="str">
        <f t="shared" si="59"/>
        <v>Fair</v>
      </c>
      <c r="AZ94" s="4"/>
    </row>
    <row r="95" spans="1:52" ht="12.75">
      <c r="A95" s="4" t="s">
        <v>925</v>
      </c>
      <c r="B95" s="4">
        <v>7</v>
      </c>
      <c r="C95" s="4" t="s">
        <v>374</v>
      </c>
      <c r="D95" s="4" t="s">
        <v>361</v>
      </c>
      <c r="F95" s="4">
        <f t="shared" si="39"/>
        <v>1</v>
      </c>
      <c r="G95" s="4">
        <f t="shared" si="40"/>
        <v>1</v>
      </c>
      <c r="H95" s="4">
        <f t="shared" si="41"/>
      </c>
      <c r="I95" s="4">
        <f t="shared" si="37"/>
        <v>11</v>
      </c>
      <c r="J95" s="4">
        <f t="shared" si="42"/>
        <v>0</v>
      </c>
      <c r="K95" s="4">
        <f t="shared" si="43"/>
        <v>0</v>
      </c>
      <c r="L95" s="4">
        <f t="shared" si="48"/>
      </c>
      <c r="M95" s="4" t="str">
        <f t="shared" si="49"/>
        <v>Earth</v>
      </c>
      <c r="N95" s="4">
        <f t="shared" si="50"/>
        <v>0</v>
      </c>
      <c r="O95" s="4">
        <f t="shared" si="51"/>
        <v>0</v>
      </c>
      <c r="P95" s="4">
        <f t="shared" si="44"/>
      </c>
      <c r="Q95" s="4">
        <f t="shared" si="52"/>
        <v>0</v>
      </c>
      <c r="R95" s="4">
        <f t="shared" si="45"/>
      </c>
      <c r="S95" s="4">
        <f t="shared" si="53"/>
        <v>0</v>
      </c>
      <c r="T95" s="4">
        <f t="shared" si="54"/>
        <v>1</v>
      </c>
      <c r="U95" s="5">
        <f t="shared" si="60"/>
        <v>15</v>
      </c>
      <c r="V95" s="5">
        <f t="shared" si="55"/>
        <v>15</v>
      </c>
      <c r="W95" s="5">
        <v>200</v>
      </c>
      <c r="X95" s="5">
        <f t="shared" si="38"/>
        <v>15</v>
      </c>
      <c r="Y95" s="6">
        <f>(1*INT((15+INT(4*X95/5))/1)+1)/2</f>
        <v>14</v>
      </c>
      <c r="Z95" s="5" t="s">
        <v>978</v>
      </c>
      <c r="AA95" s="5">
        <v>40</v>
      </c>
      <c r="AB95" s="5">
        <v>1</v>
      </c>
      <c r="AD95" s="6" t="s">
        <v>140</v>
      </c>
      <c r="AE95" s="4" t="s">
        <v>844</v>
      </c>
      <c r="AF95" s="4" t="s">
        <v>974</v>
      </c>
      <c r="AH95" s="4" t="b">
        <f t="shared" si="56"/>
        <v>1</v>
      </c>
      <c r="AI95" s="4" t="s">
        <v>646</v>
      </c>
      <c r="AO95" s="4">
        <f>COUNTIF(SpellbooksOwned!$D$2:$K$49,$A95)</f>
        <v>1</v>
      </c>
      <c r="AP95" s="4">
        <f>IF(ISBLANK(AI95),0,VLOOKUP(AI95,SpellbooksOwned!$A$1:$B$49,2,FALSE))</f>
        <v>1</v>
      </c>
      <c r="AQ95" s="4">
        <f>IF(ISBLANK(AJ95),0,VLOOKUP(AJ95,SpellbooksOwned!$A$1:$B$49,2,FALSE))</f>
        <v>0</v>
      </c>
      <c r="AR95" s="4">
        <f>IF(ISBLANK(AK95),0,VLOOKUP(AK95,SpellbooksOwned!$A$1:$B$49,2,FALSE))</f>
        <v>0</v>
      </c>
      <c r="AS95" s="4">
        <f>IF(ISBLANK(AL95),0,VLOOKUP(AL95,SpellbooksOwned!$A$1:$B$49,2,FALSE))</f>
        <v>0</v>
      </c>
      <c r="AT95" s="4">
        <f>IF(ISBLANK(AM95),0,VLOOKUP(AM95,SpellbooksOwned!$A$1:$B$49,2,FALSE))</f>
        <v>0</v>
      </c>
      <c r="AU95" s="4">
        <f>IF(ISBLANK(AN95),0,VLOOKUP(AN95,SpellbooksOwned!$A$1:$B$49,2,FALSE))</f>
        <v>0</v>
      </c>
      <c r="AV95" s="4">
        <f t="shared" si="57"/>
        <v>166</v>
      </c>
      <c r="AW95" s="26">
        <f t="shared" si="58"/>
        <v>100</v>
      </c>
      <c r="AX95" s="29">
        <f t="shared" si="47"/>
        <v>0.9985109323648599</v>
      </c>
      <c r="AY95" s="4" t="str">
        <f t="shared" si="59"/>
        <v>Useless</v>
      </c>
      <c r="AZ95" s="4"/>
    </row>
    <row r="96" spans="1:52" ht="12.75">
      <c r="A96" s="4" t="s">
        <v>465</v>
      </c>
      <c r="B96" s="4">
        <v>3</v>
      </c>
      <c r="C96" s="4" t="s">
        <v>359</v>
      </c>
      <c r="D96" s="4" t="s">
        <v>367</v>
      </c>
      <c r="F96" s="4">
        <f t="shared" si="39"/>
        <v>1</v>
      </c>
      <c r="G96" s="4">
        <f t="shared" si="40"/>
        <v>1</v>
      </c>
      <c r="H96" s="4">
        <f t="shared" si="41"/>
      </c>
      <c r="I96" s="4">
        <f t="shared" si="37"/>
        <v>11</v>
      </c>
      <c r="J96" s="4">
        <f t="shared" si="42"/>
        <v>0</v>
      </c>
      <c r="K96" s="4">
        <f t="shared" si="43"/>
        <v>0</v>
      </c>
      <c r="L96" s="4">
        <f t="shared" si="48"/>
      </c>
      <c r="M96" s="4">
        <f t="shared" si="49"/>
        <v>0</v>
      </c>
      <c r="N96" s="4">
        <f t="shared" si="50"/>
      </c>
      <c r="O96" s="4" t="str">
        <f t="shared" si="51"/>
        <v>Fire</v>
      </c>
      <c r="P96" s="4">
        <f t="shared" si="44"/>
        <v>0</v>
      </c>
      <c r="Q96" s="4">
        <f t="shared" si="52"/>
        <v>0</v>
      </c>
      <c r="R96" s="4">
        <f t="shared" si="45"/>
      </c>
      <c r="S96" s="4">
        <f t="shared" si="53"/>
        <v>0</v>
      </c>
      <c r="T96" s="4">
        <f t="shared" si="54"/>
        <v>1</v>
      </c>
      <c r="U96" s="5">
        <f t="shared" si="60"/>
        <v>15</v>
      </c>
      <c r="V96" s="5">
        <f t="shared" si="55"/>
        <v>15</v>
      </c>
      <c r="X96" s="5">
        <f t="shared" si="38"/>
        <v>15</v>
      </c>
      <c r="Z96" s="5" t="s">
        <v>64</v>
      </c>
      <c r="AB96" s="5">
        <f>MIN(50,20+2*(X96+1)/2)</f>
        <v>36</v>
      </c>
      <c r="AC96" s="5">
        <f>4+INT(CharacterProperties!$B$12/3)</f>
        <v>4</v>
      </c>
      <c r="AD96" s="6" t="s">
        <v>329</v>
      </c>
      <c r="AE96" s="4" t="s">
        <v>713</v>
      </c>
      <c r="AH96" s="4" t="b">
        <f t="shared" si="56"/>
        <v>1</v>
      </c>
      <c r="AI96" s="4" t="s">
        <v>1010</v>
      </c>
      <c r="AJ96" s="4" t="s">
        <v>587</v>
      </c>
      <c r="AO96" s="4">
        <f>COUNTIF(SpellbooksOwned!$D$2:$K$49,$A96)</f>
        <v>2</v>
      </c>
      <c r="AP96" s="4">
        <f>IF(ISBLANK(AI96),0,VLOOKUP(AI96,SpellbooksOwned!$A$1:$B$49,2,FALSE))</f>
        <v>1</v>
      </c>
      <c r="AQ96" s="4">
        <f>IF(ISBLANK(AJ96),0,VLOOKUP(AJ96,SpellbooksOwned!$A$1:$B$49,2,FALSE))</f>
        <v>1</v>
      </c>
      <c r="AR96" s="4">
        <f>IF(ISBLANK(AK96),0,VLOOKUP(AK96,SpellbooksOwned!$A$1:$B$49,2,FALSE))</f>
        <v>0</v>
      </c>
      <c r="AS96" s="4">
        <f>IF(ISBLANK(AL96),0,VLOOKUP(AL96,SpellbooksOwned!$A$1:$B$49,2,FALSE))</f>
        <v>0</v>
      </c>
      <c r="AT96" s="4">
        <f>IF(ISBLANK(AM96),0,VLOOKUP(AM96,SpellbooksOwned!$A$1:$B$49,2,FALSE))</f>
        <v>0</v>
      </c>
      <c r="AU96" s="4">
        <f>IF(ISBLANK(AN96),0,VLOOKUP(AN96,SpellbooksOwned!$A$1:$B$49,2,FALSE))</f>
        <v>0</v>
      </c>
      <c r="AV96" s="4">
        <f t="shared" si="57"/>
        <v>1</v>
      </c>
      <c r="AW96" s="26">
        <f t="shared" si="58"/>
        <v>28</v>
      </c>
      <c r="AX96" s="29">
        <f t="shared" si="47"/>
        <v>0.08850805170850018</v>
      </c>
      <c r="AY96" s="4" t="str">
        <f t="shared" si="59"/>
        <v>Very Good</v>
      </c>
      <c r="AZ96" s="4"/>
    </row>
    <row r="97" spans="1:52" ht="12.75">
      <c r="A97" s="4" t="s">
        <v>466</v>
      </c>
      <c r="B97" s="4">
        <v>5</v>
      </c>
      <c r="C97" s="4" t="s">
        <v>367</v>
      </c>
      <c r="F97" s="4">
        <f t="shared" si="39"/>
        <v>1</v>
      </c>
      <c r="G97" s="4">
        <f t="shared" si="40"/>
      </c>
      <c r="H97" s="4">
        <f t="shared" si="41"/>
      </c>
      <c r="I97" s="4">
        <f aca="true" t="shared" si="61" ref="I97:I128">INT(Spellcasting/2)+INT(2*AVERAGE(F97:H97))+3*RingOfWizardry+4*StaffOfWizardry+2*RobeOfTheArchmagi</f>
        <v>11</v>
      </c>
      <c r="J97" s="4">
        <f t="shared" si="42"/>
        <v>0</v>
      </c>
      <c r="K97" s="4">
        <f t="shared" si="43"/>
      </c>
      <c r="L97" s="4">
        <f t="shared" si="48"/>
      </c>
      <c r="M97" s="4" t="str">
        <f t="shared" si="49"/>
        <v>Fire</v>
      </c>
      <c r="N97" s="4">
        <f t="shared" si="50"/>
        <v>0</v>
      </c>
      <c r="O97" s="4">
        <f t="shared" si="51"/>
        <v>0</v>
      </c>
      <c r="P97" s="4">
        <f t="shared" si="44"/>
      </c>
      <c r="Q97" s="4">
        <f t="shared" si="52"/>
        <v>0</v>
      </c>
      <c r="R97" s="4">
        <f t="shared" si="45"/>
      </c>
      <c r="S97" s="4">
        <f t="shared" si="53"/>
        <v>0</v>
      </c>
      <c r="T97" s="4">
        <f t="shared" si="54"/>
        <v>1</v>
      </c>
      <c r="U97" s="5">
        <f t="shared" si="60"/>
        <v>15</v>
      </c>
      <c r="V97" s="5">
        <f t="shared" si="55"/>
        <v>15</v>
      </c>
      <c r="X97" s="5">
        <f aca="true" t="shared" si="62" ref="X97:X128">MIN(V97:W97)</f>
        <v>15</v>
      </c>
      <c r="Y97" s="6">
        <f>3*(5+INT(X97/10)+1)/2</f>
        <v>10.5</v>
      </c>
      <c r="Z97" s="5" t="s">
        <v>59</v>
      </c>
      <c r="AB97" s="5">
        <v>1</v>
      </c>
      <c r="AD97" s="6" t="s">
        <v>90</v>
      </c>
      <c r="AE97" s="4" t="s">
        <v>755</v>
      </c>
      <c r="AH97" s="4" t="b">
        <f t="shared" si="56"/>
        <v>1</v>
      </c>
      <c r="AI97" s="4" t="s">
        <v>367</v>
      </c>
      <c r="AO97" s="4">
        <f>COUNTIF(SpellbooksOwned!$D$2:$K$49,$A97)</f>
        <v>1</v>
      </c>
      <c r="AP97" s="4">
        <f>IF(ISBLANK(AI97),0,VLOOKUP(AI97,SpellbooksOwned!$A$1:$B$49,2,FALSE))</f>
        <v>1</v>
      </c>
      <c r="AQ97" s="4">
        <f>IF(ISBLANK(AJ97),0,VLOOKUP(AJ97,SpellbooksOwned!$A$1:$B$49,2,FALSE))</f>
        <v>0</v>
      </c>
      <c r="AR97" s="4">
        <f>IF(ISBLANK(AK97),0,VLOOKUP(AK97,SpellbooksOwned!$A$1:$B$49,2,FALSE))</f>
        <v>0</v>
      </c>
      <c r="AS97" s="4">
        <f>IF(ISBLANK(AL97),0,VLOOKUP(AL97,SpellbooksOwned!$A$1:$B$49,2,FALSE))</f>
        <v>0</v>
      </c>
      <c r="AT97" s="4">
        <f>IF(ISBLANK(AM97),0,VLOOKUP(AM97,SpellbooksOwned!$A$1:$B$49,2,FALSE))</f>
        <v>0</v>
      </c>
      <c r="AU97" s="4">
        <f>IF(ISBLANK(AN97),0,VLOOKUP(AN97,SpellbooksOwned!$A$1:$B$49,2,FALSE))</f>
        <v>0</v>
      </c>
      <c r="AV97" s="4">
        <f t="shared" si="57"/>
        <v>66</v>
      </c>
      <c r="AW97" s="26">
        <f t="shared" si="58"/>
        <v>66</v>
      </c>
      <c r="AX97" s="29">
        <f aca="true" t="shared" si="63" ref="AX97:AX128">NORMDIST(AW97,50.5,100/6,TRUE)</f>
        <v>0.8238144797733274</v>
      </c>
      <c r="AY97" s="4" t="str">
        <f t="shared" si="59"/>
        <v>Very Poor</v>
      </c>
      <c r="AZ97" s="4"/>
    </row>
    <row r="98" spans="1:52" ht="12.75">
      <c r="A98" s="4" t="s">
        <v>467</v>
      </c>
      <c r="B98" s="4">
        <v>1</v>
      </c>
      <c r="C98" s="4" t="s">
        <v>371</v>
      </c>
      <c r="F98" s="4">
        <f aca="true" t="shared" si="64" ref="F98:F129">IF(ISBLANK(C98),"",VLOOKUP(C98,TblSkillLevels,2,FALSE))</f>
        <v>1</v>
      </c>
      <c r="G98" s="4">
        <f aca="true" t="shared" si="65" ref="G98:G129">IF(ISBLANK(D98),"",VLOOKUP(D98,TblSkillLevels,2,FALSE))</f>
      </c>
      <c r="H98" s="4">
        <f aca="true" t="shared" si="66" ref="H98:H129">IF(ISBLANK(E98),"",VLOOKUP(E98,TblSkillLevels,2,FALSE))</f>
      </c>
      <c r="I98" s="4">
        <f t="shared" si="61"/>
        <v>11</v>
      </c>
      <c r="J98" s="4">
        <f aca="true" t="shared" si="67" ref="J98:J129">IF(ISBLANK(C98),"",VLOOKUP(C98,TblSkillItems,2,FALSE))</f>
        <v>0</v>
      </c>
      <c r="K98" s="4">
        <f aca="true" t="shared" si="68" ref="K98:K129">IF(ISBLANK(D98),"",VLOOKUP(D98,TblSkillItems,2,FALSE))</f>
      </c>
      <c r="L98" s="4">
        <f t="shared" si="48"/>
      </c>
      <c r="M98" s="4">
        <f t="shared" si="49"/>
        <v>0</v>
      </c>
      <c r="N98" s="4">
        <f t="shared" si="50"/>
      </c>
      <c r="O98" s="4">
        <f t="shared" si="51"/>
        <v>0</v>
      </c>
      <c r="P98" s="4">
        <f aca="true" t="shared" si="69" ref="P98:P129">IF(O98=0,"",VLOOKUP(O98,TblSkillItems,2,FALSE))</f>
      </c>
      <c r="Q98" s="4">
        <f t="shared" si="52"/>
        <v>0</v>
      </c>
      <c r="R98" s="4">
        <f t="shared" si="45"/>
      </c>
      <c r="S98" s="4">
        <f t="shared" si="53"/>
        <v>0</v>
      </c>
      <c r="T98" s="4">
        <f t="shared" si="54"/>
        <v>1</v>
      </c>
      <c r="U98" s="5">
        <f t="shared" si="60"/>
        <v>15</v>
      </c>
      <c r="V98" s="5">
        <f t="shared" si="55"/>
        <v>15</v>
      </c>
      <c r="W98" s="5">
        <v>25</v>
      </c>
      <c r="X98" s="5">
        <f t="shared" si="62"/>
        <v>15</v>
      </c>
      <c r="Y98" s="6">
        <f>1*(4+(X98/5)+1)/2</f>
        <v>4</v>
      </c>
      <c r="Z98" s="5" t="s">
        <v>932</v>
      </c>
      <c r="AB98" s="5">
        <v>1</v>
      </c>
      <c r="AD98" s="6" t="s">
        <v>343</v>
      </c>
      <c r="AE98" s="4" t="s">
        <v>807</v>
      </c>
      <c r="AF98" s="4" t="s">
        <v>953</v>
      </c>
      <c r="AH98" s="4" t="b">
        <f t="shared" si="56"/>
        <v>1</v>
      </c>
      <c r="AI98" s="4" t="s">
        <v>371</v>
      </c>
      <c r="AO98" s="4">
        <f>COUNTIF(SpellbooksOwned!$D$2:$K$49,$A98)</f>
        <v>1</v>
      </c>
      <c r="AP98" s="4">
        <f>IF(ISBLANK(AI98),0,VLOOKUP(AI98,SpellbooksOwned!$A$1:$B$49,2,FALSE))</f>
        <v>1</v>
      </c>
      <c r="AQ98" s="4">
        <f>IF(ISBLANK(AJ98),0,VLOOKUP(AJ98,SpellbooksOwned!$A$1:$B$49,2,FALSE))</f>
        <v>0</v>
      </c>
      <c r="AR98" s="4">
        <f>IF(ISBLANK(AK98),0,VLOOKUP(AK98,SpellbooksOwned!$A$1:$B$49,2,FALSE))</f>
        <v>0</v>
      </c>
      <c r="AS98" s="4">
        <f>IF(ISBLANK(AL98),0,VLOOKUP(AL98,SpellbooksOwned!$A$1:$B$49,2,FALSE))</f>
        <v>0</v>
      </c>
      <c r="AT98" s="4">
        <f>IF(ISBLANK(AM98),0,VLOOKUP(AM98,SpellbooksOwned!$A$1:$B$49,2,FALSE))</f>
        <v>0</v>
      </c>
      <c r="AU98" s="4">
        <f>IF(ISBLANK(AN98),0,VLOOKUP(AN98,SpellbooksOwned!$A$1:$B$49,2,FALSE))</f>
        <v>0</v>
      </c>
      <c r="AV98" s="4">
        <f t="shared" si="57"/>
        <v>-31</v>
      </c>
      <c r="AW98" s="26">
        <f t="shared" si="58"/>
        <v>18</v>
      </c>
      <c r="AX98" s="29">
        <f t="shared" si="63"/>
        <v>0.025587989795647026</v>
      </c>
      <c r="AY98" s="4" t="str">
        <f t="shared" si="59"/>
        <v>Great</v>
      </c>
      <c r="AZ98" s="4"/>
    </row>
    <row r="99" spans="1:52" ht="12.75">
      <c r="A99" s="4" t="s">
        <v>468</v>
      </c>
      <c r="B99" s="4">
        <v>4</v>
      </c>
      <c r="C99" s="4" t="s">
        <v>359</v>
      </c>
      <c r="F99" s="4">
        <f t="shared" si="64"/>
        <v>1</v>
      </c>
      <c r="G99" s="4">
        <f t="shared" si="65"/>
      </c>
      <c r="H99" s="4">
        <f t="shared" si="66"/>
      </c>
      <c r="I99" s="4">
        <f t="shared" si="61"/>
        <v>11</v>
      </c>
      <c r="J99" s="4">
        <f t="shared" si="67"/>
        <v>0</v>
      </c>
      <c r="K99" s="4">
        <f t="shared" si="68"/>
      </c>
      <c r="L99" s="4">
        <f t="shared" si="48"/>
      </c>
      <c r="M99" s="4">
        <f t="shared" si="49"/>
        <v>0</v>
      </c>
      <c r="N99" s="4">
        <f t="shared" si="50"/>
      </c>
      <c r="O99" s="4">
        <f t="shared" si="51"/>
        <v>0</v>
      </c>
      <c r="P99" s="4">
        <f t="shared" si="69"/>
      </c>
      <c r="Q99" s="4">
        <f t="shared" si="52"/>
        <v>0</v>
      </c>
      <c r="R99" s="4">
        <f t="shared" si="45"/>
      </c>
      <c r="S99" s="4">
        <f t="shared" si="53"/>
        <v>0</v>
      </c>
      <c r="T99" s="4">
        <f t="shared" si="54"/>
        <v>1</v>
      </c>
      <c r="U99" s="5">
        <f t="shared" si="60"/>
        <v>15</v>
      </c>
      <c r="V99" s="5">
        <f t="shared" si="55"/>
        <v>15</v>
      </c>
      <c r="X99" s="5">
        <f t="shared" si="62"/>
        <v>15</v>
      </c>
      <c r="Z99" s="5" t="s">
        <v>59</v>
      </c>
      <c r="AB99" s="5" t="s">
        <v>518</v>
      </c>
      <c r="AC99" s="5">
        <f>INT(X99*1.5)</f>
        <v>22</v>
      </c>
      <c r="AD99" s="6" t="s">
        <v>900</v>
      </c>
      <c r="AE99" s="4" t="s">
        <v>786</v>
      </c>
      <c r="AF99" s="4" t="s">
        <v>986</v>
      </c>
      <c r="AH99" s="4" t="b">
        <f t="shared" si="56"/>
        <v>1</v>
      </c>
      <c r="AI99" s="4" t="s">
        <v>1015</v>
      </c>
      <c r="AJ99" s="4" t="s">
        <v>1102</v>
      </c>
      <c r="AO99" s="4">
        <f>COUNTIF(SpellbooksOwned!$D$2:$K$49,$A99)</f>
        <v>2</v>
      </c>
      <c r="AP99" s="4">
        <f>IF(ISBLANK(AI99),0,VLOOKUP(AI99,SpellbooksOwned!$A$1:$B$49,2,FALSE))</f>
        <v>0</v>
      </c>
      <c r="AQ99" s="4">
        <f>IF(ISBLANK(AJ99),0,VLOOKUP(AJ99,SpellbooksOwned!$A$1:$B$49,2,FALSE))</f>
        <v>1</v>
      </c>
      <c r="AR99" s="4">
        <f>IF(ISBLANK(AK99),0,VLOOKUP(AK99,SpellbooksOwned!$A$1:$B$49,2,FALSE))</f>
        <v>0</v>
      </c>
      <c r="AS99" s="4">
        <f>IF(ISBLANK(AL99),0,VLOOKUP(AL99,SpellbooksOwned!$A$1:$B$49,2,FALSE))</f>
        <v>0</v>
      </c>
      <c r="AT99" s="4">
        <f>IF(ISBLANK(AM99),0,VLOOKUP(AM99,SpellbooksOwned!$A$1:$B$49,2,FALSE))</f>
        <v>0</v>
      </c>
      <c r="AU99" s="4">
        <f>IF(ISBLANK(AN99),0,VLOOKUP(AN99,SpellbooksOwned!$A$1:$B$49,2,FALSE))</f>
        <v>0</v>
      </c>
      <c r="AV99" s="4">
        <f t="shared" si="57"/>
        <v>36</v>
      </c>
      <c r="AW99" s="26">
        <f t="shared" si="58"/>
        <v>41</v>
      </c>
      <c r="AX99" s="29">
        <f t="shared" si="63"/>
        <v>0.28433880816463963</v>
      </c>
      <c r="AY99" s="4" t="str">
        <f t="shared" si="59"/>
        <v>Fair</v>
      </c>
      <c r="AZ99" s="4"/>
    </row>
    <row r="100" spans="1:52" ht="12.75">
      <c r="A100" s="4" t="s">
        <v>469</v>
      </c>
      <c r="B100" s="4">
        <v>3</v>
      </c>
      <c r="C100" s="4" t="s">
        <v>373</v>
      </c>
      <c r="D100" s="4" t="s">
        <v>383</v>
      </c>
      <c r="F100" s="4">
        <f t="shared" si="64"/>
        <v>1</v>
      </c>
      <c r="G100" s="4">
        <f t="shared" si="65"/>
        <v>1</v>
      </c>
      <c r="H100" s="4">
        <f t="shared" si="66"/>
      </c>
      <c r="I100" s="4">
        <f t="shared" si="61"/>
        <v>11</v>
      </c>
      <c r="J100" s="4">
        <f t="shared" si="67"/>
        <v>0</v>
      </c>
      <c r="K100" s="4">
        <f t="shared" si="68"/>
        <v>0</v>
      </c>
      <c r="L100" s="4">
        <f t="shared" si="48"/>
      </c>
      <c r="M100" s="4" t="str">
        <f t="shared" si="49"/>
        <v>Air</v>
      </c>
      <c r="N100" s="4">
        <f t="shared" si="50"/>
        <v>0</v>
      </c>
      <c r="O100" s="4">
        <f t="shared" si="51"/>
        <v>0</v>
      </c>
      <c r="P100" s="4">
        <f t="shared" si="69"/>
      </c>
      <c r="Q100" s="4">
        <f t="shared" si="52"/>
        <v>0</v>
      </c>
      <c r="R100" s="4">
        <f t="shared" si="45"/>
      </c>
      <c r="S100" s="4">
        <f t="shared" si="53"/>
        <v>0</v>
      </c>
      <c r="T100" s="4">
        <f t="shared" si="54"/>
        <v>1</v>
      </c>
      <c r="U100" s="5">
        <f t="shared" si="60"/>
        <v>15</v>
      </c>
      <c r="V100" s="5">
        <f t="shared" si="55"/>
        <v>15</v>
      </c>
      <c r="X100" s="5">
        <f t="shared" si="62"/>
        <v>15</v>
      </c>
      <c r="Z100" s="5">
        <f>1+INT(CharacterProperties!B9/8)+INT((X100+1)/2/25)</f>
        <v>1</v>
      </c>
      <c r="AB100" s="5">
        <f>2+Z100</f>
        <v>3</v>
      </c>
      <c r="AD100" s="6" t="s">
        <v>171</v>
      </c>
      <c r="AE100" s="4" t="s">
        <v>859</v>
      </c>
      <c r="AH100" s="4" t="b">
        <f t="shared" si="56"/>
        <v>1</v>
      </c>
      <c r="AI100" s="4" t="s">
        <v>659</v>
      </c>
      <c r="AO100" s="4">
        <f>COUNTIF(SpellbooksOwned!$D$2:$K$49,$A100)</f>
        <v>1</v>
      </c>
      <c r="AP100" s="4">
        <f>IF(ISBLANK(AI100),0,VLOOKUP(AI100,SpellbooksOwned!$A$1:$B$49,2,FALSE))</f>
        <v>1</v>
      </c>
      <c r="AQ100" s="4">
        <f>IF(ISBLANK(AJ100),0,VLOOKUP(AJ100,SpellbooksOwned!$A$1:$B$49,2,FALSE))</f>
        <v>0</v>
      </c>
      <c r="AR100" s="4">
        <f>IF(ISBLANK(AK100),0,VLOOKUP(AK100,SpellbooksOwned!$A$1:$B$49,2,FALSE))</f>
        <v>0</v>
      </c>
      <c r="AS100" s="4">
        <f>IF(ISBLANK(AL100),0,VLOOKUP(AL100,SpellbooksOwned!$A$1:$B$49,2,FALSE))</f>
        <v>0</v>
      </c>
      <c r="AT100" s="4">
        <f>IF(ISBLANK(AM100),0,VLOOKUP(AM100,SpellbooksOwned!$A$1:$B$49,2,FALSE))</f>
        <v>0</v>
      </c>
      <c r="AU100" s="4">
        <f>IF(ISBLANK(AN100),0,VLOOKUP(AN100,SpellbooksOwned!$A$1:$B$49,2,FALSE))</f>
        <v>0</v>
      </c>
      <c r="AV100" s="4">
        <f t="shared" si="57"/>
        <v>1</v>
      </c>
      <c r="AW100" s="26">
        <f t="shared" si="58"/>
        <v>28</v>
      </c>
      <c r="AX100" s="29">
        <f t="shared" si="63"/>
        <v>0.08850805170850018</v>
      </c>
      <c r="AY100" s="4" t="str">
        <f t="shared" si="59"/>
        <v>Very Good</v>
      </c>
      <c r="AZ100" s="4"/>
    </row>
    <row r="101" spans="1:52" ht="12.75">
      <c r="A101" s="4" t="s">
        <v>883</v>
      </c>
      <c r="B101" s="4">
        <v>4</v>
      </c>
      <c r="C101" s="4" t="s">
        <v>589</v>
      </c>
      <c r="F101" s="4">
        <f t="shared" si="64"/>
        <v>6</v>
      </c>
      <c r="G101" s="4">
        <f t="shared" si="65"/>
      </c>
      <c r="H101" s="4">
        <f t="shared" si="66"/>
      </c>
      <c r="I101" s="4">
        <f t="shared" si="61"/>
        <v>21</v>
      </c>
      <c r="J101" s="4">
        <f t="shared" si="67"/>
        <v>0</v>
      </c>
      <c r="K101" s="4">
        <f t="shared" si="68"/>
      </c>
      <c r="L101" s="4">
        <f t="shared" si="48"/>
      </c>
      <c r="M101" s="4">
        <f t="shared" si="49"/>
        <v>0</v>
      </c>
      <c r="N101" s="4">
        <f t="shared" si="50"/>
      </c>
      <c r="O101" s="4">
        <f t="shared" si="51"/>
        <v>0</v>
      </c>
      <c r="P101" s="4">
        <f t="shared" si="69"/>
      </c>
      <c r="Q101" s="4">
        <f t="shared" si="52"/>
        <v>0</v>
      </c>
      <c r="R101" s="4">
        <f t="shared" si="45"/>
      </c>
      <c r="S101" s="4">
        <f t="shared" si="53"/>
        <v>0</v>
      </c>
      <c r="T101" s="4">
        <f t="shared" si="54"/>
        <v>1</v>
      </c>
      <c r="U101" s="5">
        <f t="shared" si="60"/>
        <v>29</v>
      </c>
      <c r="V101" s="5">
        <f t="shared" si="55"/>
        <v>29</v>
      </c>
      <c r="X101" s="5">
        <f t="shared" si="62"/>
        <v>29</v>
      </c>
      <c r="AD101" s="6" t="s">
        <v>741</v>
      </c>
      <c r="AE101" s="4" t="s">
        <v>884</v>
      </c>
      <c r="AH101" s="4" t="e">
        <f t="shared" si="56"/>
        <v>#N/A</v>
      </c>
      <c r="AI101" s="4" t="s">
        <v>1032</v>
      </c>
      <c r="AO101" s="4">
        <f>COUNTIF(SpellbooksOwned!$D$2:$K$49,$A101)</f>
        <v>0</v>
      </c>
      <c r="AP101" s="4" t="e">
        <f>IF(ISBLANK(AI101),0,VLOOKUP(AI101,SpellbooksOwned!$A$1:$B$49,2,FALSE))</f>
        <v>#N/A</v>
      </c>
      <c r="AQ101" s="4">
        <f>IF(ISBLANK(AJ101),0,VLOOKUP(AJ101,SpellbooksOwned!$A$1:$B$49,2,FALSE))</f>
        <v>0</v>
      </c>
      <c r="AR101" s="4">
        <f>IF(ISBLANK(AK101),0,VLOOKUP(AK101,SpellbooksOwned!$A$1:$B$49,2,FALSE))</f>
        <v>0</v>
      </c>
      <c r="AS101" s="4">
        <f>IF(ISBLANK(AL101),0,VLOOKUP(AL101,SpellbooksOwned!$A$1:$B$49,2,FALSE))</f>
        <v>0</v>
      </c>
      <c r="AT101" s="4">
        <f>IF(ISBLANK(AM101),0,VLOOKUP(AM101,SpellbooksOwned!$A$1:$B$49,2,FALSE))</f>
        <v>0</v>
      </c>
      <c r="AU101" s="4">
        <f>IF(ISBLANK(AN101),0,VLOOKUP(AN101,SpellbooksOwned!$A$1:$B$49,2,FALSE))</f>
        <v>0</v>
      </c>
      <c r="AV101" s="4">
        <f t="shared" si="57"/>
        <v>-24</v>
      </c>
      <c r="AW101" s="26">
        <f t="shared" si="58"/>
        <v>22</v>
      </c>
      <c r="AX101" s="29">
        <f t="shared" si="63"/>
        <v>0.043632902942498775</v>
      </c>
      <c r="AY101" s="4" t="str">
        <f t="shared" si="59"/>
        <v>Very Good</v>
      </c>
      <c r="AZ101" s="4"/>
    </row>
    <row r="102" spans="1:52" ht="12.75">
      <c r="A102" s="4" t="s">
        <v>470</v>
      </c>
      <c r="B102" s="4">
        <v>4</v>
      </c>
      <c r="C102" s="4" t="s">
        <v>359</v>
      </c>
      <c r="D102" s="4" t="s">
        <v>420</v>
      </c>
      <c r="F102" s="4">
        <f t="shared" si="64"/>
        <v>1</v>
      </c>
      <c r="G102" s="4">
        <f t="shared" si="65"/>
        <v>1</v>
      </c>
      <c r="H102" s="4">
        <f t="shared" si="66"/>
      </c>
      <c r="I102" s="4">
        <f t="shared" si="61"/>
        <v>11</v>
      </c>
      <c r="J102" s="4">
        <f t="shared" si="67"/>
        <v>0</v>
      </c>
      <c r="K102" s="4">
        <f t="shared" si="68"/>
        <v>0</v>
      </c>
      <c r="L102" s="4">
        <f t="shared" si="48"/>
      </c>
      <c r="M102" s="4">
        <f t="shared" si="49"/>
        <v>0</v>
      </c>
      <c r="N102" s="4">
        <f t="shared" si="50"/>
      </c>
      <c r="O102" s="4">
        <f t="shared" si="51"/>
        <v>0</v>
      </c>
      <c r="P102" s="4">
        <f t="shared" si="69"/>
      </c>
      <c r="Q102" s="4">
        <f t="shared" si="52"/>
        <v>0</v>
      </c>
      <c r="R102" s="4">
        <f t="shared" si="45"/>
      </c>
      <c r="S102" s="4">
        <f t="shared" si="53"/>
        <v>0</v>
      </c>
      <c r="T102" s="4">
        <f t="shared" si="54"/>
        <v>1</v>
      </c>
      <c r="U102" s="5">
        <f t="shared" si="60"/>
        <v>15</v>
      </c>
      <c r="V102" s="5">
        <f t="shared" si="55"/>
        <v>15</v>
      </c>
      <c r="X102" s="5">
        <f t="shared" si="62"/>
        <v>15</v>
      </c>
      <c r="Z102" s="5">
        <v>0</v>
      </c>
      <c r="AB102" s="5" t="s">
        <v>158</v>
      </c>
      <c r="AD102" s="6" t="s">
        <v>160</v>
      </c>
      <c r="AE102" s="4" t="s">
        <v>839</v>
      </c>
      <c r="AH102" s="4" t="b">
        <f t="shared" si="56"/>
        <v>0</v>
      </c>
      <c r="AI102" s="4" t="s">
        <v>644</v>
      </c>
      <c r="AO102" s="4">
        <f>COUNTIF(SpellbooksOwned!$D$2:$K$49,$A102)</f>
        <v>1</v>
      </c>
      <c r="AP102" s="4">
        <f>IF(ISBLANK(AI102),0,VLOOKUP(AI102,SpellbooksOwned!$A$1:$B$49,2,FALSE))</f>
        <v>0</v>
      </c>
      <c r="AQ102" s="4">
        <f>IF(ISBLANK(AJ102),0,VLOOKUP(AJ102,SpellbooksOwned!$A$1:$B$49,2,FALSE))</f>
        <v>0</v>
      </c>
      <c r="AR102" s="4">
        <f>IF(ISBLANK(AK102),0,VLOOKUP(AK102,SpellbooksOwned!$A$1:$B$49,2,FALSE))</f>
        <v>0</v>
      </c>
      <c r="AS102" s="4">
        <f>IF(ISBLANK(AL102),0,VLOOKUP(AL102,SpellbooksOwned!$A$1:$B$49,2,FALSE))</f>
        <v>0</v>
      </c>
      <c r="AT102" s="4">
        <f>IF(ISBLANK(AM102),0,VLOOKUP(AM102,SpellbooksOwned!$A$1:$B$49,2,FALSE))</f>
        <v>0</v>
      </c>
      <c r="AU102" s="4">
        <f>IF(ISBLANK(AN102),0,VLOOKUP(AN102,SpellbooksOwned!$A$1:$B$49,2,FALSE))</f>
        <v>0</v>
      </c>
      <c r="AV102" s="4">
        <f t="shared" si="57"/>
        <v>36</v>
      </c>
      <c r="AW102" s="26">
        <f t="shared" si="58"/>
        <v>41</v>
      </c>
      <c r="AX102" s="29">
        <f t="shared" si="63"/>
        <v>0.28433880816463963</v>
      </c>
      <c r="AY102" s="4" t="str">
        <f t="shared" si="59"/>
        <v>Fair</v>
      </c>
      <c r="AZ102" s="4"/>
    </row>
    <row r="103" spans="1:52" ht="12.75">
      <c r="A103" s="4" t="s">
        <v>922</v>
      </c>
      <c r="B103" s="4">
        <v>6</v>
      </c>
      <c r="C103" s="4" t="s">
        <v>361</v>
      </c>
      <c r="D103" s="4" t="s">
        <v>420</v>
      </c>
      <c r="F103" s="4">
        <f t="shared" si="64"/>
        <v>1</v>
      </c>
      <c r="G103" s="4">
        <f t="shared" si="65"/>
        <v>1</v>
      </c>
      <c r="H103" s="4">
        <f t="shared" si="66"/>
      </c>
      <c r="I103" s="4">
        <f t="shared" si="61"/>
        <v>11</v>
      </c>
      <c r="J103" s="4">
        <f t="shared" si="67"/>
        <v>0</v>
      </c>
      <c r="K103" s="4">
        <f t="shared" si="68"/>
        <v>0</v>
      </c>
      <c r="L103" s="4">
        <f t="shared" si="48"/>
      </c>
      <c r="M103" s="4">
        <f t="shared" si="49"/>
        <v>0</v>
      </c>
      <c r="N103" s="4">
        <f t="shared" si="50"/>
      </c>
      <c r="O103" s="4">
        <f t="shared" si="51"/>
        <v>0</v>
      </c>
      <c r="P103" s="4">
        <f t="shared" si="69"/>
      </c>
      <c r="Q103" s="4">
        <f t="shared" si="52"/>
        <v>0</v>
      </c>
      <c r="R103" s="4">
        <f t="shared" si="45"/>
      </c>
      <c r="S103" s="4">
        <f t="shared" si="53"/>
        <v>0</v>
      </c>
      <c r="T103" s="4">
        <f t="shared" si="54"/>
        <v>1</v>
      </c>
      <c r="U103" s="5">
        <f t="shared" si="60"/>
        <v>15</v>
      </c>
      <c r="V103" s="5">
        <f t="shared" si="55"/>
        <v>15</v>
      </c>
      <c r="W103" s="5">
        <v>200</v>
      </c>
      <c r="X103" s="5">
        <f t="shared" si="62"/>
        <v>15</v>
      </c>
      <c r="Y103" s="6">
        <f>(4*INT((15+INT(X103))/4)+1)/2</f>
        <v>14.5</v>
      </c>
      <c r="Z103" s="5" t="s">
        <v>933</v>
      </c>
      <c r="AA103" s="5">
        <f>5+INT(X103/10)</f>
        <v>6</v>
      </c>
      <c r="AB103" s="5">
        <v>1</v>
      </c>
      <c r="AD103" s="6" t="s">
        <v>1003</v>
      </c>
      <c r="AE103" s="4" t="s">
        <v>843</v>
      </c>
      <c r="AF103" s="4" t="s">
        <v>972</v>
      </c>
      <c r="AH103" s="4" t="b">
        <f t="shared" si="56"/>
        <v>1</v>
      </c>
      <c r="AI103" s="4" t="s">
        <v>646</v>
      </c>
      <c r="AO103" s="4">
        <f>COUNTIF(SpellbooksOwned!$D$2:$K$49,$A103)</f>
        <v>1</v>
      </c>
      <c r="AP103" s="4">
        <f>IF(ISBLANK(AI103),0,VLOOKUP(AI103,SpellbooksOwned!$A$1:$B$49,2,FALSE))</f>
        <v>1</v>
      </c>
      <c r="AQ103" s="4">
        <f>IF(ISBLANK(AJ103),0,VLOOKUP(AJ103,SpellbooksOwned!$A$1:$B$49,2,FALSE))</f>
        <v>0</v>
      </c>
      <c r="AR103" s="4">
        <f>IF(ISBLANK(AK103),0,VLOOKUP(AK103,SpellbooksOwned!$A$1:$B$49,2,FALSE))</f>
        <v>0</v>
      </c>
      <c r="AS103" s="4">
        <f>IF(ISBLANK(AL103),0,VLOOKUP(AL103,SpellbooksOwned!$A$1:$B$49,2,FALSE))</f>
        <v>0</v>
      </c>
      <c r="AT103" s="4">
        <f>IF(ISBLANK(AM103),0,VLOOKUP(AM103,SpellbooksOwned!$A$1:$B$49,2,FALSE))</f>
        <v>0</v>
      </c>
      <c r="AU103" s="4">
        <f>IF(ISBLANK(AN103),0,VLOOKUP(AN103,SpellbooksOwned!$A$1:$B$49,2,FALSE))</f>
        <v>0</v>
      </c>
      <c r="AV103" s="4">
        <f t="shared" si="57"/>
        <v>116</v>
      </c>
      <c r="AW103" s="26">
        <f t="shared" si="58"/>
        <v>100</v>
      </c>
      <c r="AX103" s="29">
        <f t="shared" si="63"/>
        <v>0.9985109323648599</v>
      </c>
      <c r="AY103" s="4" t="str">
        <f t="shared" si="59"/>
        <v>Useless</v>
      </c>
      <c r="AZ103" s="4"/>
    </row>
    <row r="104" spans="1:52" ht="12.75">
      <c r="A104" s="4" t="s">
        <v>471</v>
      </c>
      <c r="B104" s="4">
        <v>4</v>
      </c>
      <c r="C104" s="4" t="s">
        <v>359</v>
      </c>
      <c r="D104" s="4" t="s">
        <v>420</v>
      </c>
      <c r="F104" s="4">
        <f t="shared" si="64"/>
        <v>1</v>
      </c>
      <c r="G104" s="4">
        <f t="shared" si="65"/>
        <v>1</v>
      </c>
      <c r="H104" s="4">
        <f t="shared" si="66"/>
      </c>
      <c r="I104" s="4">
        <f t="shared" si="61"/>
        <v>11</v>
      </c>
      <c r="J104" s="4">
        <f t="shared" si="67"/>
        <v>0</v>
      </c>
      <c r="K104" s="4">
        <f t="shared" si="68"/>
        <v>0</v>
      </c>
      <c r="L104" s="4">
        <f t="shared" si="48"/>
      </c>
      <c r="M104" s="4">
        <f t="shared" si="49"/>
        <v>0</v>
      </c>
      <c r="N104" s="4">
        <f t="shared" si="50"/>
      </c>
      <c r="O104" s="4">
        <f t="shared" si="51"/>
        <v>0</v>
      </c>
      <c r="P104" s="4">
        <f t="shared" si="69"/>
      </c>
      <c r="Q104" s="4">
        <f t="shared" si="52"/>
        <v>0</v>
      </c>
      <c r="R104" s="4">
        <f t="shared" si="45"/>
      </c>
      <c r="S104" s="4">
        <f t="shared" si="53"/>
        <v>0</v>
      </c>
      <c r="T104" s="4">
        <f t="shared" si="54"/>
        <v>1</v>
      </c>
      <c r="U104" s="5">
        <f t="shared" si="60"/>
        <v>15</v>
      </c>
      <c r="V104" s="5">
        <f t="shared" si="55"/>
        <v>15</v>
      </c>
      <c r="X104" s="5">
        <f t="shared" si="62"/>
        <v>15</v>
      </c>
      <c r="Z104" s="5">
        <v>0</v>
      </c>
      <c r="AB104" s="5">
        <f>MIN(50,15+2*INT((X104+1)/2))</f>
        <v>31</v>
      </c>
      <c r="AD104" s="6" t="s">
        <v>77</v>
      </c>
      <c r="AE104" s="4" t="s">
        <v>775</v>
      </c>
      <c r="AH104" s="4" t="b">
        <f t="shared" si="56"/>
        <v>1</v>
      </c>
      <c r="AI104" s="4" t="s">
        <v>608</v>
      </c>
      <c r="AJ104" s="4" t="s">
        <v>1102</v>
      </c>
      <c r="AO104" s="4">
        <f>COUNTIF(SpellbooksOwned!$D$2:$K$49,$A104)</f>
        <v>2</v>
      </c>
      <c r="AP104" s="4">
        <f>IF(ISBLANK(AI104),0,VLOOKUP(AI104,SpellbooksOwned!$A$1:$B$49,2,FALSE))</f>
        <v>1</v>
      </c>
      <c r="AQ104" s="4">
        <f>IF(ISBLANK(AJ104),0,VLOOKUP(AJ104,SpellbooksOwned!$A$1:$B$49,2,FALSE))</f>
        <v>1</v>
      </c>
      <c r="AR104" s="4">
        <f>IF(ISBLANK(AK104),0,VLOOKUP(AK104,SpellbooksOwned!$A$1:$B$49,2,FALSE))</f>
        <v>0</v>
      </c>
      <c r="AS104" s="4">
        <f>IF(ISBLANK(AL104),0,VLOOKUP(AL104,SpellbooksOwned!$A$1:$B$49,2,FALSE))</f>
        <v>0</v>
      </c>
      <c r="AT104" s="4">
        <f>IF(ISBLANK(AM104),0,VLOOKUP(AM104,SpellbooksOwned!$A$1:$B$49,2,FALSE))</f>
        <v>0</v>
      </c>
      <c r="AU104" s="4">
        <f>IF(ISBLANK(AN104),0,VLOOKUP(AN104,SpellbooksOwned!$A$1:$B$49,2,FALSE))</f>
        <v>0</v>
      </c>
      <c r="AV104" s="4">
        <f t="shared" si="57"/>
        <v>36</v>
      </c>
      <c r="AW104" s="26">
        <f t="shared" si="58"/>
        <v>41</v>
      </c>
      <c r="AX104" s="29">
        <f t="shared" si="63"/>
        <v>0.28433880816463963</v>
      </c>
      <c r="AY104" s="4" t="str">
        <f t="shared" si="59"/>
        <v>Fair</v>
      </c>
      <c r="AZ104" s="4"/>
    </row>
    <row r="105" spans="1:52" ht="12.75">
      <c r="A105" s="4" t="s">
        <v>472</v>
      </c>
      <c r="B105" s="4">
        <v>6</v>
      </c>
      <c r="C105" s="4" t="s">
        <v>374</v>
      </c>
      <c r="D105" s="4" t="s">
        <v>361</v>
      </c>
      <c r="E105" s="4" t="s">
        <v>420</v>
      </c>
      <c r="F105" s="4">
        <f t="shared" si="64"/>
        <v>1</v>
      </c>
      <c r="G105" s="4">
        <f t="shared" si="65"/>
        <v>1</v>
      </c>
      <c r="H105" s="4">
        <f t="shared" si="66"/>
        <v>1</v>
      </c>
      <c r="I105" s="4">
        <f t="shared" si="61"/>
        <v>11</v>
      </c>
      <c r="J105" s="4">
        <f t="shared" si="67"/>
        <v>0</v>
      </c>
      <c r="K105" s="4">
        <f t="shared" si="68"/>
        <v>0</v>
      </c>
      <c r="L105" s="4">
        <f t="shared" si="48"/>
        <v>0</v>
      </c>
      <c r="M105" s="4" t="str">
        <f t="shared" si="49"/>
        <v>Earth</v>
      </c>
      <c r="N105" s="4">
        <f t="shared" si="50"/>
        <v>0</v>
      </c>
      <c r="O105" s="4">
        <f t="shared" si="51"/>
        <v>0</v>
      </c>
      <c r="P105" s="4">
        <f t="shared" si="69"/>
      </c>
      <c r="Q105" s="4">
        <f t="shared" si="52"/>
        <v>0</v>
      </c>
      <c r="R105" s="4">
        <f t="shared" si="45"/>
      </c>
      <c r="S105" s="4">
        <f t="shared" si="53"/>
        <v>0</v>
      </c>
      <c r="T105" s="4">
        <f t="shared" si="54"/>
        <v>1</v>
      </c>
      <c r="U105" s="5">
        <f t="shared" si="60"/>
        <v>15</v>
      </c>
      <c r="V105" s="5">
        <f t="shared" si="55"/>
        <v>15</v>
      </c>
      <c r="X105" s="5">
        <f t="shared" si="62"/>
        <v>15</v>
      </c>
      <c r="Y105" s="6">
        <f>8/2</f>
        <v>4</v>
      </c>
      <c r="Z105" s="5" t="s">
        <v>59</v>
      </c>
      <c r="AB105" s="5">
        <f>AC105</f>
        <v>9</v>
      </c>
      <c r="AC105" s="5">
        <f>8+2/2</f>
        <v>9</v>
      </c>
      <c r="AD105" s="6" t="s">
        <v>907</v>
      </c>
      <c r="AE105" s="4" t="s">
        <v>801</v>
      </c>
      <c r="AH105" s="4" t="b">
        <f t="shared" si="56"/>
        <v>1</v>
      </c>
      <c r="AI105" s="4" t="s">
        <v>1018</v>
      </c>
      <c r="AJ105" s="4" t="s">
        <v>644</v>
      </c>
      <c r="AK105" s="4" t="s">
        <v>702</v>
      </c>
      <c r="AO105" s="4">
        <f>COUNTIF(SpellbooksOwned!$D$2:$K$49,$A105)</f>
        <v>3</v>
      </c>
      <c r="AP105" s="4">
        <f>IF(ISBLANK(AI105),0,VLOOKUP(AI105,SpellbooksOwned!$A$1:$B$49,2,FALSE))</f>
        <v>0</v>
      </c>
      <c r="AQ105" s="4">
        <f>IF(ISBLANK(AJ105),0,VLOOKUP(AJ105,SpellbooksOwned!$A$1:$B$49,2,FALSE))</f>
        <v>0</v>
      </c>
      <c r="AR105" s="4">
        <f>IF(ISBLANK(AK105),0,VLOOKUP(AK105,SpellbooksOwned!$A$1:$B$49,2,FALSE))</f>
        <v>1</v>
      </c>
      <c r="AS105" s="4">
        <f>IF(ISBLANK(AL105),0,VLOOKUP(AL105,SpellbooksOwned!$A$1:$B$49,2,FALSE))</f>
        <v>0</v>
      </c>
      <c r="AT105" s="4">
        <f>IF(ISBLANK(AM105),0,VLOOKUP(AM105,SpellbooksOwned!$A$1:$B$49,2,FALSE))</f>
        <v>0</v>
      </c>
      <c r="AU105" s="4">
        <f>IF(ISBLANK(AN105),0,VLOOKUP(AN105,SpellbooksOwned!$A$1:$B$49,2,FALSE))</f>
        <v>0</v>
      </c>
      <c r="AV105" s="4">
        <f t="shared" si="57"/>
        <v>116</v>
      </c>
      <c r="AW105" s="26">
        <f t="shared" si="58"/>
        <v>100</v>
      </c>
      <c r="AX105" s="29">
        <f t="shared" si="63"/>
        <v>0.9985109323648599</v>
      </c>
      <c r="AY105" s="4" t="str">
        <f t="shared" si="59"/>
        <v>Useless</v>
      </c>
      <c r="AZ105" s="4"/>
    </row>
    <row r="106" spans="1:52" ht="12.75">
      <c r="A106" s="4" t="s">
        <v>473</v>
      </c>
      <c r="B106" s="4">
        <v>5</v>
      </c>
      <c r="C106" s="4" t="s">
        <v>383</v>
      </c>
      <c r="F106" s="4">
        <f t="shared" si="64"/>
        <v>1</v>
      </c>
      <c r="G106" s="4">
        <f t="shared" si="65"/>
      </c>
      <c r="H106" s="4">
        <f t="shared" si="66"/>
      </c>
      <c r="I106" s="4">
        <f t="shared" si="61"/>
        <v>11</v>
      </c>
      <c r="J106" s="4">
        <f t="shared" si="67"/>
        <v>0</v>
      </c>
      <c r="K106" s="4">
        <f t="shared" si="68"/>
      </c>
      <c r="L106" s="4">
        <f t="shared" si="48"/>
      </c>
      <c r="M106" s="4">
        <f t="shared" si="49"/>
        <v>0</v>
      </c>
      <c r="N106" s="4">
        <f t="shared" si="50"/>
      </c>
      <c r="O106" s="4">
        <f t="shared" si="51"/>
        <v>0</v>
      </c>
      <c r="P106" s="4">
        <f t="shared" si="69"/>
      </c>
      <c r="Q106" s="4">
        <f t="shared" si="52"/>
        <v>0</v>
      </c>
      <c r="R106" s="4">
        <f t="shared" si="45"/>
      </c>
      <c r="S106" s="4">
        <f t="shared" si="53"/>
        <v>0</v>
      </c>
      <c r="T106" s="4">
        <f t="shared" si="54"/>
        <v>1</v>
      </c>
      <c r="U106" s="5">
        <f t="shared" si="60"/>
        <v>15</v>
      </c>
      <c r="V106" s="5">
        <f t="shared" si="55"/>
        <v>15</v>
      </c>
      <c r="X106" s="5">
        <f t="shared" si="62"/>
        <v>15</v>
      </c>
      <c r="Z106" s="5" t="s">
        <v>931</v>
      </c>
      <c r="AB106" s="5" t="s">
        <v>158</v>
      </c>
      <c r="AC106" s="5">
        <f>INT(X106*1.5)</f>
        <v>22</v>
      </c>
      <c r="AD106" s="6" t="s">
        <v>897</v>
      </c>
      <c r="AE106" s="4" t="s">
        <v>793</v>
      </c>
      <c r="AF106" s="4" t="s">
        <v>983</v>
      </c>
      <c r="AH106" s="4" t="b">
        <f t="shared" si="56"/>
        <v>1</v>
      </c>
      <c r="AI106" s="4" t="s">
        <v>1016</v>
      </c>
      <c r="AJ106" s="4" t="s">
        <v>39</v>
      </c>
      <c r="AO106" s="4">
        <f>COUNTIF(SpellbooksOwned!$D$2:$K$49,$A106)</f>
        <v>2</v>
      </c>
      <c r="AP106" s="4">
        <f>IF(ISBLANK(AI106),0,VLOOKUP(AI106,SpellbooksOwned!$A$1:$B$49,2,FALSE))</f>
        <v>1</v>
      </c>
      <c r="AQ106" s="4">
        <f>IF(ISBLANK(AJ106),0,VLOOKUP(AJ106,SpellbooksOwned!$A$1:$B$49,2,FALSE))</f>
        <v>0</v>
      </c>
      <c r="AR106" s="4">
        <f>IF(ISBLANK(AK106),0,VLOOKUP(AK106,SpellbooksOwned!$A$1:$B$49,2,FALSE))</f>
        <v>0</v>
      </c>
      <c r="AS106" s="4">
        <f>IF(ISBLANK(AL106),0,VLOOKUP(AL106,SpellbooksOwned!$A$1:$B$49,2,FALSE))</f>
        <v>0</v>
      </c>
      <c r="AT106" s="4">
        <f>IF(ISBLANK(AM106),0,VLOOKUP(AM106,SpellbooksOwned!$A$1:$B$49,2,FALSE))</f>
        <v>0</v>
      </c>
      <c r="AU106" s="4">
        <f>IF(ISBLANK(AN106),0,VLOOKUP(AN106,SpellbooksOwned!$A$1:$B$49,2,FALSE))</f>
        <v>0</v>
      </c>
      <c r="AV106" s="4">
        <f t="shared" si="57"/>
        <v>66</v>
      </c>
      <c r="AW106" s="26">
        <f t="shared" si="58"/>
        <v>66</v>
      </c>
      <c r="AX106" s="29">
        <f t="shared" si="63"/>
        <v>0.8238144797733274</v>
      </c>
      <c r="AY106" s="4" t="str">
        <f t="shared" si="59"/>
        <v>Very Poor</v>
      </c>
      <c r="AZ106" s="4"/>
    </row>
    <row r="107" spans="1:52" ht="12.75">
      <c r="A107" s="4" t="s">
        <v>474</v>
      </c>
      <c r="B107" s="4">
        <v>8</v>
      </c>
      <c r="C107" s="4" t="s">
        <v>391</v>
      </c>
      <c r="F107" s="4">
        <f t="shared" si="64"/>
        <v>1</v>
      </c>
      <c r="G107" s="4">
        <f t="shared" si="65"/>
      </c>
      <c r="H107" s="4">
        <f t="shared" si="66"/>
      </c>
      <c r="I107" s="4">
        <f t="shared" si="61"/>
        <v>11</v>
      </c>
      <c r="J107" s="4">
        <f t="shared" si="67"/>
        <v>0</v>
      </c>
      <c r="K107" s="4">
        <f t="shared" si="68"/>
      </c>
      <c r="L107" s="4">
        <f t="shared" si="48"/>
      </c>
      <c r="M107" s="4">
        <f t="shared" si="49"/>
        <v>0</v>
      </c>
      <c r="N107" s="4">
        <f t="shared" si="50"/>
      </c>
      <c r="O107" s="4">
        <f t="shared" si="51"/>
        <v>0</v>
      </c>
      <c r="P107" s="4">
        <f t="shared" si="69"/>
      </c>
      <c r="Q107" s="4">
        <f t="shared" si="52"/>
        <v>0</v>
      </c>
      <c r="R107" s="4">
        <f t="shared" si="45"/>
      </c>
      <c r="S107" s="4">
        <f t="shared" si="53"/>
        <v>0</v>
      </c>
      <c r="T107" s="4">
        <f t="shared" si="54"/>
        <v>1</v>
      </c>
      <c r="U107" s="5">
        <f t="shared" si="60"/>
        <v>15</v>
      </c>
      <c r="V107" s="5">
        <f t="shared" si="55"/>
        <v>15</v>
      </c>
      <c r="X107" s="5">
        <f t="shared" si="62"/>
        <v>15</v>
      </c>
      <c r="Z107" s="5" t="s">
        <v>64</v>
      </c>
      <c r="AB107" s="5">
        <v>1</v>
      </c>
      <c r="AD107" s="6" t="s">
        <v>605</v>
      </c>
      <c r="AE107" s="4" t="s">
        <v>838</v>
      </c>
      <c r="AH107" s="4" t="b">
        <f t="shared" si="56"/>
        <v>0</v>
      </c>
      <c r="AI107" s="4" t="s">
        <v>28</v>
      </c>
      <c r="AO107" s="4">
        <f>COUNTIF(SpellbooksOwned!$D$2:$K$49,$A107)</f>
        <v>1</v>
      </c>
      <c r="AP107" s="4">
        <f>IF(ISBLANK(AI107),0,VLOOKUP(AI107,SpellbooksOwned!$A$1:$B$49,2,FALSE))</f>
        <v>0</v>
      </c>
      <c r="AQ107" s="4">
        <f>IF(ISBLANK(AJ107),0,VLOOKUP(AJ107,SpellbooksOwned!$A$1:$B$49,2,FALSE))</f>
        <v>0</v>
      </c>
      <c r="AR107" s="4">
        <f>IF(ISBLANK(AK107),0,VLOOKUP(AK107,SpellbooksOwned!$A$1:$B$49,2,FALSE))</f>
        <v>0</v>
      </c>
      <c r="AS107" s="4">
        <f>IF(ISBLANK(AL107),0,VLOOKUP(AL107,SpellbooksOwned!$A$1:$B$49,2,FALSE))</f>
        <v>0</v>
      </c>
      <c r="AT107" s="4">
        <f>IF(ISBLANK(AM107),0,VLOOKUP(AM107,SpellbooksOwned!$A$1:$B$49,2,FALSE))</f>
        <v>0</v>
      </c>
      <c r="AU107" s="4">
        <f>IF(ISBLANK(AN107),0,VLOOKUP(AN107,SpellbooksOwned!$A$1:$B$49,2,FALSE))</f>
        <v>0</v>
      </c>
      <c r="AV107" s="4">
        <f t="shared" si="57"/>
        <v>226</v>
      </c>
      <c r="AW107" s="26">
        <f t="shared" si="58"/>
        <v>100</v>
      </c>
      <c r="AX107" s="29">
        <f t="shared" si="63"/>
        <v>0.9985109323648599</v>
      </c>
      <c r="AY107" s="4" t="str">
        <f t="shared" si="59"/>
        <v>Useless</v>
      </c>
      <c r="AZ107" s="4"/>
    </row>
    <row r="108" spans="1:52" ht="12.75">
      <c r="A108" s="4" t="s">
        <v>475</v>
      </c>
      <c r="B108" s="4">
        <v>2</v>
      </c>
      <c r="C108" s="4" t="s">
        <v>359</v>
      </c>
      <c r="F108" s="4">
        <f t="shared" si="64"/>
        <v>1</v>
      </c>
      <c r="G108" s="4">
        <f t="shared" si="65"/>
      </c>
      <c r="H108" s="4">
        <f t="shared" si="66"/>
      </c>
      <c r="I108" s="4">
        <f t="shared" si="61"/>
        <v>11</v>
      </c>
      <c r="J108" s="4">
        <f t="shared" si="67"/>
        <v>0</v>
      </c>
      <c r="K108" s="4">
        <f t="shared" si="68"/>
      </c>
      <c r="L108" s="4">
        <f t="shared" si="48"/>
      </c>
      <c r="M108" s="4">
        <f t="shared" si="49"/>
        <v>0</v>
      </c>
      <c r="N108" s="4">
        <f t="shared" si="50"/>
      </c>
      <c r="O108" s="4">
        <f t="shared" si="51"/>
        <v>0</v>
      </c>
      <c r="P108" s="4">
        <f t="shared" si="69"/>
      </c>
      <c r="Q108" s="4">
        <f t="shared" si="52"/>
        <v>0</v>
      </c>
      <c r="R108" s="4">
        <f t="shared" si="45"/>
      </c>
      <c r="S108" s="4">
        <f t="shared" si="53"/>
        <v>0</v>
      </c>
      <c r="T108" s="4">
        <f t="shared" si="54"/>
        <v>1</v>
      </c>
      <c r="U108" s="5">
        <f t="shared" si="60"/>
        <v>15</v>
      </c>
      <c r="V108" s="5">
        <f t="shared" si="55"/>
        <v>15</v>
      </c>
      <c r="X108" s="5">
        <f t="shared" si="62"/>
        <v>15</v>
      </c>
      <c r="Z108" s="5">
        <v>30</v>
      </c>
      <c r="AB108" s="5">
        <v>1</v>
      </c>
      <c r="AD108" s="6" t="s">
        <v>903</v>
      </c>
      <c r="AE108" s="4" t="s">
        <v>797</v>
      </c>
      <c r="AH108" s="4" t="b">
        <f t="shared" si="56"/>
        <v>1</v>
      </c>
      <c r="AI108" s="4" t="s">
        <v>1017</v>
      </c>
      <c r="AJ108" s="4" t="s">
        <v>682</v>
      </c>
      <c r="AK108" s="4" t="s">
        <v>1102</v>
      </c>
      <c r="AO108" s="4">
        <f>COUNTIF(SpellbooksOwned!$D$2:$K$49,$A108)</f>
        <v>3</v>
      </c>
      <c r="AP108" s="4">
        <f>IF(ISBLANK(AI108),0,VLOOKUP(AI108,SpellbooksOwned!$A$1:$B$49,2,FALSE))</f>
        <v>1</v>
      </c>
      <c r="AQ108" s="4">
        <f>IF(ISBLANK(AJ108),0,VLOOKUP(AJ108,SpellbooksOwned!$A$1:$B$49,2,FALSE))</f>
        <v>1</v>
      </c>
      <c r="AR108" s="4">
        <f>IF(ISBLANK(AK108),0,VLOOKUP(AK108,SpellbooksOwned!$A$1:$B$49,2,FALSE))</f>
        <v>1</v>
      </c>
      <c r="AS108" s="4">
        <f>IF(ISBLANK(AL108),0,VLOOKUP(AL108,SpellbooksOwned!$A$1:$B$49,2,FALSE))</f>
        <v>0</v>
      </c>
      <c r="AT108" s="4">
        <f>IF(ISBLANK(AM108),0,VLOOKUP(AM108,SpellbooksOwned!$A$1:$B$49,2,FALSE))</f>
        <v>0</v>
      </c>
      <c r="AU108" s="4">
        <f>IF(ISBLANK(AN108),0,VLOOKUP(AN108,SpellbooksOwned!$A$1:$B$49,2,FALSE))</f>
        <v>0</v>
      </c>
      <c r="AV108" s="4">
        <f t="shared" si="57"/>
        <v>-19</v>
      </c>
      <c r="AW108" s="26">
        <f t="shared" si="58"/>
        <v>22</v>
      </c>
      <c r="AX108" s="29">
        <f t="shared" si="63"/>
        <v>0.043632902942498775</v>
      </c>
      <c r="AY108" s="4" t="str">
        <f t="shared" si="59"/>
        <v>Very Good</v>
      </c>
      <c r="AZ108" s="4"/>
    </row>
    <row r="109" spans="1:52" ht="12.75">
      <c r="A109" s="4" t="s">
        <v>877</v>
      </c>
      <c r="B109" s="4">
        <v>5</v>
      </c>
      <c r="C109" s="4" t="s">
        <v>589</v>
      </c>
      <c r="F109" s="4">
        <f t="shared" si="64"/>
        <v>6</v>
      </c>
      <c r="G109" s="4">
        <f t="shared" si="65"/>
      </c>
      <c r="H109" s="4">
        <f t="shared" si="66"/>
      </c>
      <c r="I109" s="4">
        <f t="shared" si="61"/>
        <v>21</v>
      </c>
      <c r="J109" s="4">
        <f t="shared" si="67"/>
        <v>0</v>
      </c>
      <c r="K109" s="4">
        <f t="shared" si="68"/>
      </c>
      <c r="L109" s="4">
        <f t="shared" si="48"/>
      </c>
      <c r="M109" s="4">
        <f t="shared" si="49"/>
        <v>0</v>
      </c>
      <c r="N109" s="4">
        <f t="shared" si="50"/>
      </c>
      <c r="O109" s="4">
        <f t="shared" si="51"/>
        <v>0</v>
      </c>
      <c r="P109" s="4">
        <f t="shared" si="69"/>
      </c>
      <c r="Q109" s="4">
        <f t="shared" si="52"/>
        <v>0</v>
      </c>
      <c r="R109" s="4">
        <f t="shared" si="45"/>
      </c>
      <c r="S109" s="4">
        <f t="shared" si="53"/>
        <v>0</v>
      </c>
      <c r="T109" s="4">
        <f t="shared" si="54"/>
        <v>1</v>
      </c>
      <c r="U109" s="5">
        <f t="shared" si="60"/>
        <v>29</v>
      </c>
      <c r="V109" s="5">
        <f t="shared" si="55"/>
        <v>29</v>
      </c>
      <c r="X109" s="5">
        <f t="shared" si="62"/>
        <v>29</v>
      </c>
      <c r="Z109" s="5" t="s">
        <v>64</v>
      </c>
      <c r="AB109" s="5">
        <v>1</v>
      </c>
      <c r="AD109" s="6" t="s">
        <v>65</v>
      </c>
      <c r="AE109" s="4" t="s">
        <v>805</v>
      </c>
      <c r="AH109" s="4" t="b">
        <f t="shared" si="56"/>
        <v>0</v>
      </c>
      <c r="AI109" s="4" t="s">
        <v>806</v>
      </c>
      <c r="AO109" s="4">
        <f>COUNTIF(SpellbooksOwned!$D$2:$K$49,$A109)</f>
        <v>1</v>
      </c>
      <c r="AP109" s="4">
        <f>IF(ISBLANK(AI109),0,VLOOKUP(AI109,SpellbooksOwned!$A$1:$B$49,2,FALSE))</f>
        <v>0</v>
      </c>
      <c r="AQ109" s="4">
        <f>IF(ISBLANK(AJ109),0,VLOOKUP(AJ109,SpellbooksOwned!$A$1:$B$49,2,FALSE))</f>
        <v>0</v>
      </c>
      <c r="AR109" s="4">
        <f>IF(ISBLANK(AK109),0,VLOOKUP(AK109,SpellbooksOwned!$A$1:$B$49,2,FALSE))</f>
        <v>0</v>
      </c>
      <c r="AS109" s="4">
        <f>IF(ISBLANK(AL109),0,VLOOKUP(AL109,SpellbooksOwned!$A$1:$B$49,2,FALSE))</f>
        <v>0</v>
      </c>
      <c r="AT109" s="4">
        <f>IF(ISBLANK(AM109),0,VLOOKUP(AM109,SpellbooksOwned!$A$1:$B$49,2,FALSE))</f>
        <v>0</v>
      </c>
      <c r="AU109" s="4">
        <f>IF(ISBLANK(AN109),0,VLOOKUP(AN109,SpellbooksOwned!$A$1:$B$49,2,FALSE))</f>
        <v>0</v>
      </c>
      <c r="AV109" s="4">
        <f t="shared" si="57"/>
        <v>6</v>
      </c>
      <c r="AW109" s="26">
        <f t="shared" si="58"/>
        <v>30</v>
      </c>
      <c r="AX109" s="29">
        <f t="shared" si="63"/>
        <v>0.10934861681538022</v>
      </c>
      <c r="AY109" s="4" t="str">
        <f t="shared" si="59"/>
        <v>Very Good</v>
      </c>
      <c r="AZ109" s="4"/>
    </row>
    <row r="110" spans="1:52" ht="12.75">
      <c r="A110" s="4" t="s">
        <v>476</v>
      </c>
      <c r="B110" s="4">
        <v>3</v>
      </c>
      <c r="C110" s="4" t="s">
        <v>477</v>
      </c>
      <c r="D110" s="4" t="s">
        <v>391</v>
      </c>
      <c r="F110" s="4">
        <f t="shared" si="64"/>
        <v>1</v>
      </c>
      <c r="G110" s="4">
        <f t="shared" si="65"/>
        <v>1</v>
      </c>
      <c r="H110" s="4">
        <f t="shared" si="66"/>
      </c>
      <c r="I110" s="4">
        <f t="shared" si="61"/>
        <v>11</v>
      </c>
      <c r="J110" s="4">
        <f t="shared" si="67"/>
        <v>0</v>
      </c>
      <c r="K110" s="4">
        <f t="shared" si="68"/>
        <v>0</v>
      </c>
      <c r="L110" s="4">
        <f t="shared" si="48"/>
      </c>
      <c r="M110" s="4">
        <f t="shared" si="49"/>
        <v>0</v>
      </c>
      <c r="N110" s="4">
        <f t="shared" si="50"/>
      </c>
      <c r="O110" s="4">
        <f t="shared" si="51"/>
        <v>0</v>
      </c>
      <c r="P110" s="4">
        <f t="shared" si="69"/>
      </c>
      <c r="Q110" s="4">
        <f t="shared" si="52"/>
        <v>0</v>
      </c>
      <c r="R110" s="4">
        <f t="shared" si="45"/>
      </c>
      <c r="S110" s="4">
        <f t="shared" si="53"/>
        <v>0</v>
      </c>
      <c r="T110" s="4">
        <f t="shared" si="54"/>
        <v>1</v>
      </c>
      <c r="U110" s="5">
        <f t="shared" si="60"/>
        <v>15</v>
      </c>
      <c r="V110" s="5">
        <f t="shared" si="55"/>
        <v>15</v>
      </c>
      <c r="X110" s="5">
        <f t="shared" si="62"/>
        <v>15</v>
      </c>
      <c r="Z110" s="5" t="s">
        <v>429</v>
      </c>
      <c r="AB110" s="5">
        <v>1</v>
      </c>
      <c r="AD110" s="6" t="s">
        <v>161</v>
      </c>
      <c r="AE110" s="4" t="s">
        <v>728</v>
      </c>
      <c r="AH110" s="4" t="b">
        <f t="shared" si="56"/>
        <v>0</v>
      </c>
      <c r="AI110" s="4" t="s">
        <v>631</v>
      </c>
      <c r="AJ110" s="4" t="s">
        <v>38</v>
      </c>
      <c r="AK110" t="s">
        <v>25</v>
      </c>
      <c r="AO110" s="4">
        <f>COUNTIF(SpellbooksOwned!$D$2:$K$49,$A110)</f>
        <v>3</v>
      </c>
      <c r="AP110" s="4">
        <f>IF(ISBLANK(AI110),0,VLOOKUP(AI110,SpellbooksOwned!$A$1:$B$49,2,FALSE))</f>
        <v>0</v>
      </c>
      <c r="AQ110" s="4">
        <f>IF(ISBLANK(AJ110),0,VLOOKUP(AJ110,SpellbooksOwned!$A$1:$B$49,2,FALSE))</f>
        <v>0</v>
      </c>
      <c r="AR110" s="4">
        <f>IF(ISBLANK(AK110),0,VLOOKUP(AK110,SpellbooksOwned!$A$1:$B$49,2,FALSE))</f>
        <v>0</v>
      </c>
      <c r="AS110" s="4">
        <f>IF(ISBLANK(AL110),0,VLOOKUP(AL110,SpellbooksOwned!$A$1:$B$49,2,FALSE))</f>
        <v>0</v>
      </c>
      <c r="AT110" s="4">
        <f>IF(ISBLANK(AM110),0,VLOOKUP(AM110,SpellbooksOwned!$A$1:$B$49,2,FALSE))</f>
        <v>0</v>
      </c>
      <c r="AU110" s="4">
        <f>IF(ISBLANK(AN110),0,VLOOKUP(AN110,SpellbooksOwned!$A$1:$B$49,2,FALSE))</f>
        <v>0</v>
      </c>
      <c r="AV110" s="4">
        <f t="shared" si="57"/>
        <v>1</v>
      </c>
      <c r="AW110" s="26">
        <f t="shared" si="58"/>
        <v>28</v>
      </c>
      <c r="AX110" s="29">
        <f t="shared" si="63"/>
        <v>0.08850805170850018</v>
      </c>
      <c r="AY110" s="4" t="str">
        <f t="shared" si="59"/>
        <v>Very Good</v>
      </c>
      <c r="AZ110" s="4"/>
    </row>
    <row r="111" spans="1:52" ht="12.75">
      <c r="A111" s="4" t="s">
        <v>478</v>
      </c>
      <c r="B111" s="4">
        <v>3</v>
      </c>
      <c r="C111" s="4" t="s">
        <v>359</v>
      </c>
      <c r="D111" s="4" t="s">
        <v>371</v>
      </c>
      <c r="F111" s="4">
        <f t="shared" si="64"/>
        <v>1</v>
      </c>
      <c r="G111" s="4">
        <f t="shared" si="65"/>
        <v>1</v>
      </c>
      <c r="H111" s="4">
        <f t="shared" si="66"/>
      </c>
      <c r="I111" s="4">
        <f t="shared" si="61"/>
        <v>11</v>
      </c>
      <c r="J111" s="4">
        <f t="shared" si="67"/>
        <v>0</v>
      </c>
      <c r="K111" s="4">
        <f t="shared" si="68"/>
        <v>0</v>
      </c>
      <c r="L111" s="4">
        <f t="shared" si="48"/>
      </c>
      <c r="M111" s="4">
        <f t="shared" si="49"/>
        <v>0</v>
      </c>
      <c r="N111" s="4">
        <f t="shared" si="50"/>
      </c>
      <c r="O111" s="4">
        <f t="shared" si="51"/>
        <v>0</v>
      </c>
      <c r="P111" s="4">
        <f t="shared" si="69"/>
      </c>
      <c r="Q111" s="4">
        <f t="shared" si="52"/>
        <v>0</v>
      </c>
      <c r="R111" s="4">
        <f t="shared" si="45"/>
      </c>
      <c r="S111" s="4">
        <f t="shared" si="53"/>
        <v>0</v>
      </c>
      <c r="T111" s="4">
        <f t="shared" si="54"/>
        <v>1</v>
      </c>
      <c r="U111" s="5">
        <f t="shared" si="60"/>
        <v>15</v>
      </c>
      <c r="V111" s="5">
        <f t="shared" si="55"/>
        <v>15</v>
      </c>
      <c r="X111" s="5">
        <f t="shared" si="62"/>
        <v>15</v>
      </c>
      <c r="Z111" s="5" t="s">
        <v>64</v>
      </c>
      <c r="AB111" s="5">
        <f>MIN(100,5+2*INT((INT(X111/3)+1+1)/2))-0.5</f>
        <v>10.5</v>
      </c>
      <c r="AD111" s="6" t="s">
        <v>179</v>
      </c>
      <c r="AE111" s="4" t="s">
        <v>800</v>
      </c>
      <c r="AH111" s="4" t="b">
        <f t="shared" si="56"/>
        <v>1</v>
      </c>
      <c r="AI111" s="4" t="s">
        <v>616</v>
      </c>
      <c r="AJ111" s="4" t="s">
        <v>371</v>
      </c>
      <c r="AO111" s="4">
        <f>COUNTIF(SpellbooksOwned!$D$2:$K$49,$A111)</f>
        <v>2</v>
      </c>
      <c r="AP111" s="4">
        <f>IF(ISBLANK(AI111),0,VLOOKUP(AI111,SpellbooksOwned!$A$1:$B$49,2,FALSE))</f>
        <v>0</v>
      </c>
      <c r="AQ111" s="4">
        <f>IF(ISBLANK(AJ111),0,VLOOKUP(AJ111,SpellbooksOwned!$A$1:$B$49,2,FALSE))</f>
        <v>1</v>
      </c>
      <c r="AR111" s="4">
        <f>IF(ISBLANK(AK111),0,VLOOKUP(AK111,SpellbooksOwned!$A$1:$B$49,2,FALSE))</f>
        <v>0</v>
      </c>
      <c r="AS111" s="4">
        <f>IF(ISBLANK(AL111),0,VLOOKUP(AL111,SpellbooksOwned!$A$1:$B$49,2,FALSE))</f>
        <v>0</v>
      </c>
      <c r="AT111" s="4">
        <f>IF(ISBLANK(AM111),0,VLOOKUP(AM111,SpellbooksOwned!$A$1:$B$49,2,FALSE))</f>
        <v>0</v>
      </c>
      <c r="AU111" s="4">
        <f>IF(ISBLANK(AN111),0,VLOOKUP(AN111,SpellbooksOwned!$A$1:$B$49,2,FALSE))</f>
        <v>0</v>
      </c>
      <c r="AV111" s="4">
        <f t="shared" si="57"/>
        <v>1</v>
      </c>
      <c r="AW111" s="26">
        <f t="shared" si="58"/>
        <v>28</v>
      </c>
      <c r="AX111" s="29">
        <f t="shared" si="63"/>
        <v>0.08850805170850018</v>
      </c>
      <c r="AY111" s="4" t="str">
        <f t="shared" si="59"/>
        <v>Very Good</v>
      </c>
      <c r="AZ111" s="4"/>
    </row>
    <row r="112" spans="1:52" ht="12.75">
      <c r="A112" s="4" t="s">
        <v>479</v>
      </c>
      <c r="B112" s="4">
        <v>5</v>
      </c>
      <c r="C112" s="4" t="s">
        <v>359</v>
      </c>
      <c r="F112" s="4">
        <f t="shared" si="64"/>
        <v>1</v>
      </c>
      <c r="G112" s="4">
        <f t="shared" si="65"/>
      </c>
      <c r="H112" s="4">
        <f t="shared" si="66"/>
      </c>
      <c r="I112" s="4">
        <f t="shared" si="61"/>
        <v>11</v>
      </c>
      <c r="J112" s="4">
        <f t="shared" si="67"/>
        <v>0</v>
      </c>
      <c r="K112" s="4">
        <f t="shared" si="68"/>
      </c>
      <c r="L112" s="4">
        <f t="shared" si="48"/>
      </c>
      <c r="M112" s="4">
        <f t="shared" si="49"/>
        <v>0</v>
      </c>
      <c r="N112" s="4">
        <f t="shared" si="50"/>
      </c>
      <c r="O112" s="4">
        <f t="shared" si="51"/>
        <v>0</v>
      </c>
      <c r="P112" s="4">
        <f t="shared" si="69"/>
      </c>
      <c r="Q112" s="4">
        <f t="shared" si="52"/>
        <v>0</v>
      </c>
      <c r="R112" s="4">
        <f t="shared" si="45"/>
      </c>
      <c r="S112" s="4">
        <f t="shared" si="53"/>
        <v>0</v>
      </c>
      <c r="T112" s="4">
        <f t="shared" si="54"/>
        <v>1</v>
      </c>
      <c r="U112" s="5">
        <f t="shared" si="60"/>
        <v>15</v>
      </c>
      <c r="V112" s="5">
        <f t="shared" si="55"/>
        <v>15</v>
      </c>
      <c r="X112" s="5">
        <f t="shared" si="62"/>
        <v>15</v>
      </c>
      <c r="Z112" s="5" t="s">
        <v>64</v>
      </c>
      <c r="AB112" s="5">
        <v>1</v>
      </c>
      <c r="AD112" s="6" t="s">
        <v>742</v>
      </c>
      <c r="AE112" s="4" t="s">
        <v>768</v>
      </c>
      <c r="AH112" s="4" t="b">
        <f t="shared" si="56"/>
        <v>1</v>
      </c>
      <c r="AI112" s="4" t="s">
        <v>593</v>
      </c>
      <c r="AJ112" s="4" t="s">
        <v>1017</v>
      </c>
      <c r="AO112" s="4">
        <f>COUNTIF(SpellbooksOwned!$D$2:$K$49,$A112)</f>
        <v>2</v>
      </c>
      <c r="AP112" s="4">
        <f>IF(ISBLANK(AI112),0,VLOOKUP(AI112,SpellbooksOwned!$A$1:$B$49,2,FALSE))</f>
        <v>0</v>
      </c>
      <c r="AQ112" s="4">
        <f>IF(ISBLANK(AJ112),0,VLOOKUP(AJ112,SpellbooksOwned!$A$1:$B$49,2,FALSE))</f>
        <v>1</v>
      </c>
      <c r="AR112" s="4">
        <f>IF(ISBLANK(AK112),0,VLOOKUP(AK112,SpellbooksOwned!$A$1:$B$49,2,FALSE))</f>
        <v>0</v>
      </c>
      <c r="AS112" s="4">
        <f>IF(ISBLANK(AL112),0,VLOOKUP(AL112,SpellbooksOwned!$A$1:$B$49,2,FALSE))</f>
        <v>0</v>
      </c>
      <c r="AT112" s="4">
        <f>IF(ISBLANK(AM112),0,VLOOKUP(AM112,SpellbooksOwned!$A$1:$B$49,2,FALSE))</f>
        <v>0</v>
      </c>
      <c r="AU112" s="4">
        <f>IF(ISBLANK(AN112),0,VLOOKUP(AN112,SpellbooksOwned!$A$1:$B$49,2,FALSE))</f>
        <v>0</v>
      </c>
      <c r="AV112" s="4">
        <f t="shared" si="57"/>
        <v>66</v>
      </c>
      <c r="AW112" s="26">
        <f t="shared" si="58"/>
        <v>66</v>
      </c>
      <c r="AX112" s="29">
        <f t="shared" si="63"/>
        <v>0.8238144797733274</v>
      </c>
      <c r="AY112" s="4" t="str">
        <f t="shared" si="59"/>
        <v>Very Poor</v>
      </c>
      <c r="AZ112" s="4"/>
    </row>
    <row r="113" spans="1:52" ht="12.75">
      <c r="A113" s="4" t="s">
        <v>480</v>
      </c>
      <c r="B113" s="4">
        <v>2</v>
      </c>
      <c r="C113" s="4" t="s">
        <v>374</v>
      </c>
      <c r="D113" s="4" t="s">
        <v>359</v>
      </c>
      <c r="F113" s="4">
        <f t="shared" si="64"/>
        <v>1</v>
      </c>
      <c r="G113" s="4">
        <f t="shared" si="65"/>
        <v>1</v>
      </c>
      <c r="H113" s="4">
        <f t="shared" si="66"/>
      </c>
      <c r="I113" s="4">
        <f t="shared" si="61"/>
        <v>11</v>
      </c>
      <c r="J113" s="4">
        <f t="shared" si="67"/>
        <v>0</v>
      </c>
      <c r="K113" s="4">
        <f t="shared" si="68"/>
        <v>0</v>
      </c>
      <c r="L113" s="4">
        <f t="shared" si="48"/>
      </c>
      <c r="M113" s="4" t="str">
        <f t="shared" si="49"/>
        <v>Earth</v>
      </c>
      <c r="N113" s="4">
        <f t="shared" si="50"/>
        <v>0</v>
      </c>
      <c r="O113" s="4">
        <f t="shared" si="51"/>
        <v>0</v>
      </c>
      <c r="P113" s="4">
        <f t="shared" si="69"/>
      </c>
      <c r="Q113" s="4">
        <f t="shared" si="52"/>
        <v>0</v>
      </c>
      <c r="R113" s="4">
        <f t="shared" si="45"/>
      </c>
      <c r="S113" s="4">
        <f t="shared" si="53"/>
        <v>0</v>
      </c>
      <c r="T113" s="4">
        <f t="shared" si="54"/>
        <v>1</v>
      </c>
      <c r="U113" s="5">
        <f t="shared" si="60"/>
        <v>15</v>
      </c>
      <c r="V113" s="5">
        <f t="shared" si="55"/>
        <v>15</v>
      </c>
      <c r="X113" s="5">
        <f t="shared" si="62"/>
        <v>15</v>
      </c>
      <c r="Z113" s="5" t="s">
        <v>64</v>
      </c>
      <c r="AB113" s="5">
        <f>MIN(100,8+2*INT((X113+1)/2))-0.5</f>
        <v>23.5</v>
      </c>
      <c r="AD113" s="6" t="s">
        <v>340</v>
      </c>
      <c r="AE113" s="4" t="s">
        <v>714</v>
      </c>
      <c r="AH113" s="4" t="b">
        <f t="shared" si="56"/>
        <v>1</v>
      </c>
      <c r="AI113" s="4" t="s">
        <v>616</v>
      </c>
      <c r="AJ113" s="4" t="s">
        <v>626</v>
      </c>
      <c r="AK113" s="4" t="s">
        <v>374</v>
      </c>
      <c r="AL113" s="4" t="s">
        <v>1011</v>
      </c>
      <c r="AO113" s="4">
        <f>COUNTIF(SpellbooksOwned!$D$2:$K$49,$A113)</f>
        <v>4</v>
      </c>
      <c r="AP113" s="4">
        <f>IF(ISBLANK(AI113),0,VLOOKUP(AI113,SpellbooksOwned!$A$1:$B$49,2,FALSE))</f>
        <v>0</v>
      </c>
      <c r="AQ113" s="4">
        <f>IF(ISBLANK(AJ113),0,VLOOKUP(AJ113,SpellbooksOwned!$A$1:$B$49,2,FALSE))</f>
        <v>1</v>
      </c>
      <c r="AR113" s="4">
        <f>IF(ISBLANK(AK113),0,VLOOKUP(AK113,SpellbooksOwned!$A$1:$B$49,2,FALSE))</f>
        <v>0</v>
      </c>
      <c r="AS113" s="4">
        <f>IF(ISBLANK(AL113),0,VLOOKUP(AL113,SpellbooksOwned!$A$1:$B$49,2,FALSE))</f>
        <v>0</v>
      </c>
      <c r="AT113" s="4">
        <f>IF(ISBLANK(AM113),0,VLOOKUP(AM113,SpellbooksOwned!$A$1:$B$49,2,FALSE))</f>
        <v>0</v>
      </c>
      <c r="AU113" s="4">
        <f>IF(ISBLANK(AN113),0,VLOOKUP(AN113,SpellbooksOwned!$A$1:$B$49,2,FALSE))</f>
        <v>0</v>
      </c>
      <c r="AV113" s="4">
        <f t="shared" si="57"/>
        <v>-19</v>
      </c>
      <c r="AW113" s="26">
        <f t="shared" si="58"/>
        <v>22</v>
      </c>
      <c r="AX113" s="29">
        <f t="shared" si="63"/>
        <v>0.043632902942498775</v>
      </c>
      <c r="AY113" s="4" t="str">
        <f t="shared" si="59"/>
        <v>Very Good</v>
      </c>
      <c r="AZ113" s="4"/>
    </row>
    <row r="114" spans="1:52" ht="12.75">
      <c r="A114" s="4" t="s">
        <v>914</v>
      </c>
      <c r="B114" s="4">
        <v>3</v>
      </c>
      <c r="C114" s="4" t="s">
        <v>589</v>
      </c>
      <c r="F114" s="4">
        <f t="shared" si="64"/>
        <v>6</v>
      </c>
      <c r="G114" s="4">
        <f t="shared" si="65"/>
      </c>
      <c r="H114" s="4">
        <f t="shared" si="66"/>
      </c>
      <c r="I114" s="4">
        <f t="shared" si="61"/>
        <v>21</v>
      </c>
      <c r="J114" s="4">
        <f t="shared" si="67"/>
        <v>0</v>
      </c>
      <c r="K114" s="4">
        <f t="shared" si="68"/>
      </c>
      <c r="L114" s="4">
        <f t="shared" si="48"/>
      </c>
      <c r="M114" s="4">
        <f t="shared" si="49"/>
        <v>0</v>
      </c>
      <c r="N114" s="4">
        <f t="shared" si="50"/>
      </c>
      <c r="O114" s="4">
        <f t="shared" si="51"/>
        <v>0</v>
      </c>
      <c r="P114" s="4">
        <f t="shared" si="69"/>
      </c>
      <c r="Q114" s="4">
        <f t="shared" si="52"/>
        <v>0</v>
      </c>
      <c r="R114" s="4">
        <f t="shared" si="45"/>
      </c>
      <c r="S114" s="4">
        <f t="shared" si="53"/>
        <v>0</v>
      </c>
      <c r="T114" s="4">
        <f t="shared" si="54"/>
        <v>1</v>
      </c>
      <c r="U114" s="5">
        <v>50</v>
      </c>
      <c r="V114" s="5">
        <f t="shared" si="55"/>
        <v>50</v>
      </c>
      <c r="X114" s="5">
        <f t="shared" si="62"/>
        <v>50</v>
      </c>
      <c r="Y114" s="13"/>
      <c r="Z114" s="5" t="s">
        <v>59</v>
      </c>
      <c r="AB114" s="5">
        <v>1</v>
      </c>
      <c r="AC114" s="34"/>
      <c r="AD114" s="6" t="s">
        <v>84</v>
      </c>
      <c r="AE114" s="4" t="s">
        <v>915</v>
      </c>
      <c r="AH114" s="4" t="e">
        <f t="shared" si="56"/>
        <v>#N/A</v>
      </c>
      <c r="AI114" s="4" t="s">
        <v>1032</v>
      </c>
      <c r="AO114" s="4">
        <f>COUNTIF(SpellbooksOwned!$D$2:$K$49,$A114)</f>
        <v>0</v>
      </c>
      <c r="AP114" s="4" t="e">
        <f>IF(ISBLANK(AI114),0,VLOOKUP(AI114,SpellbooksOwned!$A$1:$B$49,2,FALSE))</f>
        <v>#N/A</v>
      </c>
      <c r="AQ114" s="4">
        <f>IF(ISBLANK(AJ114),0,VLOOKUP(AJ114,SpellbooksOwned!$A$1:$B$49,2,FALSE))</f>
        <v>0</v>
      </c>
      <c r="AR114" s="4">
        <f>IF(ISBLANK(AK114),0,VLOOKUP(AK114,SpellbooksOwned!$A$1:$B$49,2,FALSE))</f>
        <v>0</v>
      </c>
      <c r="AS114" s="4">
        <f>IF(ISBLANK(AL114),0,VLOOKUP(AL114,SpellbooksOwned!$A$1:$B$49,2,FALSE))</f>
        <v>0</v>
      </c>
      <c r="AT114" s="4">
        <f>IF(ISBLANK(AM114),0,VLOOKUP(AM114,SpellbooksOwned!$A$1:$B$49,2,FALSE))</f>
        <v>0</v>
      </c>
      <c r="AU114" s="4">
        <f>IF(ISBLANK(AN114),0,VLOOKUP(AN114,SpellbooksOwned!$A$1:$B$49,2,FALSE))</f>
        <v>0</v>
      </c>
      <c r="AV114" s="4">
        <f t="shared" si="57"/>
        <v>-59</v>
      </c>
      <c r="AW114" s="26">
        <f t="shared" si="58"/>
        <v>14</v>
      </c>
      <c r="AX114" s="29">
        <f t="shared" si="63"/>
        <v>0.014262068074845646</v>
      </c>
      <c r="AY114" s="4" t="str">
        <f t="shared" si="59"/>
        <v>Great</v>
      </c>
      <c r="AZ114" s="4"/>
    </row>
    <row r="115" spans="1:52" ht="12.75">
      <c r="A115" s="4" t="s">
        <v>481</v>
      </c>
      <c r="B115" s="4">
        <v>4</v>
      </c>
      <c r="C115" s="4" t="s">
        <v>359</v>
      </c>
      <c r="D115" s="4" t="s">
        <v>420</v>
      </c>
      <c r="F115" s="4">
        <f t="shared" si="64"/>
        <v>1</v>
      </c>
      <c r="G115" s="4">
        <f t="shared" si="65"/>
        <v>1</v>
      </c>
      <c r="H115" s="4">
        <f t="shared" si="66"/>
      </c>
      <c r="I115" s="4">
        <f t="shared" si="61"/>
        <v>11</v>
      </c>
      <c r="J115" s="4">
        <f t="shared" si="67"/>
        <v>0</v>
      </c>
      <c r="K115" s="4">
        <f t="shared" si="68"/>
        <v>0</v>
      </c>
      <c r="L115" s="4">
        <f t="shared" si="48"/>
      </c>
      <c r="M115" s="4">
        <f t="shared" si="49"/>
        <v>0</v>
      </c>
      <c r="N115" s="4">
        <f t="shared" si="50"/>
      </c>
      <c r="O115" s="4">
        <f t="shared" si="51"/>
        <v>0</v>
      </c>
      <c r="P115" s="4">
        <f t="shared" si="69"/>
      </c>
      <c r="Q115" s="4">
        <f t="shared" si="52"/>
        <v>0</v>
      </c>
      <c r="R115" s="4">
        <f t="shared" si="45"/>
      </c>
      <c r="S115" s="4">
        <f t="shared" si="53"/>
        <v>0</v>
      </c>
      <c r="T115" s="4">
        <f t="shared" si="54"/>
        <v>1</v>
      </c>
      <c r="U115" s="5">
        <f aca="true" t="shared" si="70" ref="U115:U130">INT(INT(I115*T115)*Intelligence/10)</f>
        <v>15</v>
      </c>
      <c r="V115" s="5">
        <f t="shared" si="55"/>
        <v>15</v>
      </c>
      <c r="X115" s="5">
        <f t="shared" si="62"/>
        <v>15</v>
      </c>
      <c r="Z115" s="5" t="s">
        <v>64</v>
      </c>
      <c r="AB115" s="5">
        <f>MIN(100,10+INT((X115+1)/2))</f>
        <v>18</v>
      </c>
      <c r="AD115" s="6" t="s">
        <v>743</v>
      </c>
      <c r="AE115" s="4" t="s">
        <v>840</v>
      </c>
      <c r="AH115" s="4" t="b">
        <f t="shared" si="56"/>
        <v>0</v>
      </c>
      <c r="AI115" s="4" t="s">
        <v>644</v>
      </c>
      <c r="AO115" s="4">
        <f>COUNTIF(SpellbooksOwned!$D$2:$K$49,$A115)</f>
        <v>1</v>
      </c>
      <c r="AP115" s="4">
        <f>IF(ISBLANK(AI115),0,VLOOKUP(AI115,SpellbooksOwned!$A$1:$B$49,2,FALSE))</f>
        <v>0</v>
      </c>
      <c r="AQ115" s="4">
        <f>IF(ISBLANK(AJ115),0,VLOOKUP(AJ115,SpellbooksOwned!$A$1:$B$49,2,FALSE))</f>
        <v>0</v>
      </c>
      <c r="AR115" s="4">
        <f>IF(ISBLANK(AK115),0,VLOOKUP(AK115,SpellbooksOwned!$A$1:$B$49,2,FALSE))</f>
        <v>0</v>
      </c>
      <c r="AS115" s="4">
        <f>IF(ISBLANK(AL115),0,VLOOKUP(AL115,SpellbooksOwned!$A$1:$B$49,2,FALSE))</f>
        <v>0</v>
      </c>
      <c r="AT115" s="4">
        <f>IF(ISBLANK(AM115),0,VLOOKUP(AM115,SpellbooksOwned!$A$1:$B$49,2,FALSE))</f>
        <v>0</v>
      </c>
      <c r="AU115" s="4">
        <f>IF(ISBLANK(AN115),0,VLOOKUP(AN115,SpellbooksOwned!$A$1:$B$49,2,FALSE))</f>
        <v>0</v>
      </c>
      <c r="AV115" s="4">
        <f t="shared" si="57"/>
        <v>36</v>
      </c>
      <c r="AW115" s="26">
        <f t="shared" si="58"/>
        <v>41</v>
      </c>
      <c r="AX115" s="29">
        <f t="shared" si="63"/>
        <v>0.28433880816463963</v>
      </c>
      <c r="AY115" s="4" t="str">
        <f t="shared" si="59"/>
        <v>Fair</v>
      </c>
      <c r="AZ115" s="4"/>
    </row>
    <row r="116" spans="1:52" ht="12.75">
      <c r="A116" s="4" t="s">
        <v>873</v>
      </c>
      <c r="B116" s="4">
        <v>2</v>
      </c>
      <c r="C116" s="4" t="s">
        <v>589</v>
      </c>
      <c r="F116" s="4">
        <f t="shared" si="64"/>
        <v>6</v>
      </c>
      <c r="G116" s="4">
        <f t="shared" si="65"/>
      </c>
      <c r="H116" s="4">
        <f t="shared" si="66"/>
      </c>
      <c r="I116" s="4">
        <f t="shared" si="61"/>
        <v>21</v>
      </c>
      <c r="J116" s="4">
        <f t="shared" si="67"/>
        <v>0</v>
      </c>
      <c r="K116" s="4">
        <f t="shared" si="68"/>
      </c>
      <c r="L116" s="4">
        <f t="shared" si="48"/>
      </c>
      <c r="M116" s="4">
        <f t="shared" si="49"/>
        <v>0</v>
      </c>
      <c r="N116" s="4">
        <f t="shared" si="50"/>
      </c>
      <c r="O116" s="4">
        <f t="shared" si="51"/>
        <v>0</v>
      </c>
      <c r="P116" s="4">
        <f t="shared" si="69"/>
      </c>
      <c r="Q116" s="4">
        <f t="shared" si="52"/>
        <v>0</v>
      </c>
      <c r="R116" s="4">
        <f t="shared" si="45"/>
      </c>
      <c r="S116" s="4">
        <f t="shared" si="53"/>
        <v>0</v>
      </c>
      <c r="T116" s="4">
        <f t="shared" si="54"/>
        <v>1</v>
      </c>
      <c r="U116" s="5">
        <f t="shared" si="70"/>
        <v>29</v>
      </c>
      <c r="V116" s="5">
        <f t="shared" si="55"/>
        <v>29</v>
      </c>
      <c r="X116" s="5">
        <f t="shared" si="62"/>
        <v>29</v>
      </c>
      <c r="Z116" s="5" t="s">
        <v>64</v>
      </c>
      <c r="AB116" s="5">
        <v>1</v>
      </c>
      <c r="AD116" s="6" t="s">
        <v>82</v>
      </c>
      <c r="AE116" s="4" t="s">
        <v>870</v>
      </c>
      <c r="AH116" s="4" t="e">
        <f t="shared" si="56"/>
        <v>#N/A</v>
      </c>
      <c r="AI116" s="4" t="s">
        <v>1032</v>
      </c>
      <c r="AO116" s="4">
        <f>COUNTIF(SpellbooksOwned!$D$2:$K$49,$A116)</f>
        <v>0</v>
      </c>
      <c r="AP116" s="4" t="e">
        <f>IF(ISBLANK(AI116),0,VLOOKUP(AI116,SpellbooksOwned!$A$1:$B$49,2,FALSE))</f>
        <v>#N/A</v>
      </c>
      <c r="AQ116" s="4">
        <f>IF(ISBLANK(AJ116),0,VLOOKUP(AJ116,SpellbooksOwned!$A$1:$B$49,2,FALSE))</f>
        <v>0</v>
      </c>
      <c r="AR116" s="4">
        <f>IF(ISBLANK(AK116),0,VLOOKUP(AK116,SpellbooksOwned!$A$1:$B$49,2,FALSE))</f>
        <v>0</v>
      </c>
      <c r="AS116" s="4">
        <f>IF(ISBLANK(AL116),0,VLOOKUP(AL116,SpellbooksOwned!$A$1:$B$49,2,FALSE))</f>
        <v>0</v>
      </c>
      <c r="AT116" s="4">
        <f>IF(ISBLANK(AM116),0,VLOOKUP(AM116,SpellbooksOwned!$A$1:$B$49,2,FALSE))</f>
        <v>0</v>
      </c>
      <c r="AU116" s="4">
        <f>IF(ISBLANK(AN116),0,VLOOKUP(AN116,SpellbooksOwned!$A$1:$B$49,2,FALSE))</f>
        <v>0</v>
      </c>
      <c r="AV116" s="4">
        <f t="shared" si="57"/>
        <v>-79</v>
      </c>
      <c r="AW116" s="26">
        <f t="shared" si="58"/>
        <v>12</v>
      </c>
      <c r="AX116" s="29">
        <f t="shared" si="63"/>
        <v>0.01044405023461148</v>
      </c>
      <c r="AY116" s="4" t="str">
        <f t="shared" si="59"/>
        <v>Great</v>
      </c>
      <c r="AZ116" s="4"/>
    </row>
    <row r="117" spans="1:52" ht="12.75">
      <c r="A117" s="4" t="s">
        <v>872</v>
      </c>
      <c r="B117" s="4">
        <v>2</v>
      </c>
      <c r="C117" s="4" t="s">
        <v>589</v>
      </c>
      <c r="F117" s="4">
        <f t="shared" si="64"/>
        <v>6</v>
      </c>
      <c r="G117" s="4">
        <f t="shared" si="65"/>
      </c>
      <c r="H117" s="4">
        <f t="shared" si="66"/>
      </c>
      <c r="I117" s="4">
        <f t="shared" si="61"/>
        <v>21</v>
      </c>
      <c r="J117" s="4">
        <f t="shared" si="67"/>
        <v>0</v>
      </c>
      <c r="K117" s="4">
        <f t="shared" si="68"/>
      </c>
      <c r="L117" s="4">
        <f t="shared" si="48"/>
      </c>
      <c r="M117" s="4">
        <f t="shared" si="49"/>
        <v>0</v>
      </c>
      <c r="N117" s="4">
        <f t="shared" si="50"/>
      </c>
      <c r="O117" s="4">
        <f t="shared" si="51"/>
        <v>0</v>
      </c>
      <c r="P117" s="4">
        <f t="shared" si="69"/>
      </c>
      <c r="Q117" s="4">
        <f t="shared" si="52"/>
        <v>0</v>
      </c>
      <c r="R117" s="4">
        <f t="shared" si="45"/>
      </c>
      <c r="S117" s="4">
        <f t="shared" si="53"/>
        <v>0</v>
      </c>
      <c r="T117" s="4">
        <f t="shared" si="54"/>
        <v>1</v>
      </c>
      <c r="U117" s="5">
        <f t="shared" si="70"/>
        <v>29</v>
      </c>
      <c r="V117" s="5">
        <f t="shared" si="55"/>
        <v>29</v>
      </c>
      <c r="X117" s="5">
        <f t="shared" si="62"/>
        <v>29</v>
      </c>
      <c r="Z117" s="5" t="s">
        <v>64</v>
      </c>
      <c r="AB117" s="5">
        <v>1</v>
      </c>
      <c r="AD117" s="6" t="s">
        <v>83</v>
      </c>
      <c r="AE117" s="4" t="s">
        <v>869</v>
      </c>
      <c r="AH117" s="4" t="e">
        <f t="shared" si="56"/>
        <v>#N/A</v>
      </c>
      <c r="AI117" s="4" t="s">
        <v>1032</v>
      </c>
      <c r="AO117" s="4">
        <f>COUNTIF(SpellbooksOwned!$D$2:$K$49,$A117)</f>
        <v>0</v>
      </c>
      <c r="AP117" s="4" t="e">
        <f>IF(ISBLANK(AI117),0,VLOOKUP(AI117,SpellbooksOwned!$A$1:$B$49,2,FALSE))</f>
        <v>#N/A</v>
      </c>
      <c r="AQ117" s="4">
        <f>IF(ISBLANK(AJ117),0,VLOOKUP(AJ117,SpellbooksOwned!$A$1:$B$49,2,FALSE))</f>
        <v>0</v>
      </c>
      <c r="AR117" s="4">
        <f>IF(ISBLANK(AK117),0,VLOOKUP(AK117,SpellbooksOwned!$A$1:$B$49,2,FALSE))</f>
        <v>0</v>
      </c>
      <c r="AS117" s="4">
        <f>IF(ISBLANK(AL117),0,VLOOKUP(AL117,SpellbooksOwned!$A$1:$B$49,2,FALSE))</f>
        <v>0</v>
      </c>
      <c r="AT117" s="4">
        <f>IF(ISBLANK(AM117),0,VLOOKUP(AM117,SpellbooksOwned!$A$1:$B$49,2,FALSE))</f>
        <v>0</v>
      </c>
      <c r="AU117" s="4">
        <f>IF(ISBLANK(AN117),0,VLOOKUP(AN117,SpellbooksOwned!$A$1:$B$49,2,FALSE))</f>
        <v>0</v>
      </c>
      <c r="AV117" s="4">
        <f t="shared" si="57"/>
        <v>-79</v>
      </c>
      <c r="AW117" s="26">
        <f t="shared" si="58"/>
        <v>12</v>
      </c>
      <c r="AX117" s="29">
        <f t="shared" si="63"/>
        <v>0.01044405023461148</v>
      </c>
      <c r="AY117" s="4" t="str">
        <f t="shared" si="59"/>
        <v>Great</v>
      </c>
      <c r="AZ117" s="4"/>
    </row>
    <row r="118" spans="1:52" ht="12.75">
      <c r="A118" s="4" t="s">
        <v>871</v>
      </c>
      <c r="B118" s="4">
        <v>2</v>
      </c>
      <c r="C118" s="4" t="s">
        <v>589</v>
      </c>
      <c r="F118" s="4">
        <f t="shared" si="64"/>
        <v>6</v>
      </c>
      <c r="G118" s="4">
        <f t="shared" si="65"/>
      </c>
      <c r="H118" s="4">
        <f t="shared" si="66"/>
      </c>
      <c r="I118" s="4">
        <f t="shared" si="61"/>
        <v>21</v>
      </c>
      <c r="J118" s="4">
        <f t="shared" si="67"/>
        <v>0</v>
      </c>
      <c r="K118" s="4">
        <f t="shared" si="68"/>
      </c>
      <c r="L118" s="4">
        <f t="shared" si="48"/>
      </c>
      <c r="M118" s="4">
        <f t="shared" si="49"/>
        <v>0</v>
      </c>
      <c r="N118" s="4">
        <f t="shared" si="50"/>
      </c>
      <c r="O118" s="4">
        <f t="shared" si="51"/>
        <v>0</v>
      </c>
      <c r="P118" s="4">
        <f t="shared" si="69"/>
      </c>
      <c r="Q118" s="4">
        <f t="shared" si="52"/>
        <v>0</v>
      </c>
      <c r="R118" s="4">
        <f t="shared" si="45"/>
      </c>
      <c r="S118" s="4">
        <f t="shared" si="53"/>
        <v>0</v>
      </c>
      <c r="T118" s="4">
        <f t="shared" si="54"/>
        <v>1</v>
      </c>
      <c r="U118" s="5">
        <f t="shared" si="70"/>
        <v>29</v>
      </c>
      <c r="V118" s="5">
        <f t="shared" si="55"/>
        <v>29</v>
      </c>
      <c r="X118" s="5">
        <f t="shared" si="62"/>
        <v>29</v>
      </c>
      <c r="Z118" s="5" t="s">
        <v>64</v>
      </c>
      <c r="AB118" s="5">
        <v>1</v>
      </c>
      <c r="AD118" s="6" t="s">
        <v>81</v>
      </c>
      <c r="AE118" s="4" t="s">
        <v>868</v>
      </c>
      <c r="AH118" s="4" t="e">
        <f t="shared" si="56"/>
        <v>#N/A</v>
      </c>
      <c r="AI118" s="4" t="s">
        <v>1032</v>
      </c>
      <c r="AO118" s="4">
        <f>COUNTIF(SpellbooksOwned!$D$2:$K$49,$A118)</f>
        <v>0</v>
      </c>
      <c r="AP118" s="4" t="e">
        <f>IF(ISBLANK(AI118),0,VLOOKUP(AI118,SpellbooksOwned!$A$1:$B$49,2,FALSE))</f>
        <v>#N/A</v>
      </c>
      <c r="AQ118" s="4">
        <f>IF(ISBLANK(AJ118),0,VLOOKUP(AJ118,SpellbooksOwned!$A$1:$B$49,2,FALSE))</f>
        <v>0</v>
      </c>
      <c r="AR118" s="4">
        <f>IF(ISBLANK(AK118),0,VLOOKUP(AK118,SpellbooksOwned!$A$1:$B$49,2,FALSE))</f>
        <v>0</v>
      </c>
      <c r="AS118" s="4">
        <f>IF(ISBLANK(AL118),0,VLOOKUP(AL118,SpellbooksOwned!$A$1:$B$49,2,FALSE))</f>
        <v>0</v>
      </c>
      <c r="AT118" s="4">
        <f>IF(ISBLANK(AM118),0,VLOOKUP(AM118,SpellbooksOwned!$A$1:$B$49,2,FALSE))</f>
        <v>0</v>
      </c>
      <c r="AU118" s="4">
        <f>IF(ISBLANK(AN118),0,VLOOKUP(AN118,SpellbooksOwned!$A$1:$B$49,2,FALSE))</f>
        <v>0</v>
      </c>
      <c r="AV118" s="4">
        <f t="shared" si="57"/>
        <v>-79</v>
      </c>
      <c r="AW118" s="26">
        <f t="shared" si="58"/>
        <v>12</v>
      </c>
      <c r="AX118" s="29">
        <f t="shared" si="63"/>
        <v>0.01044405023461148</v>
      </c>
      <c r="AY118" s="4" t="str">
        <f t="shared" si="59"/>
        <v>Great</v>
      </c>
      <c r="AZ118" s="4"/>
    </row>
    <row r="119" spans="1:52" ht="12.75">
      <c r="A119" s="4" t="s">
        <v>482</v>
      </c>
      <c r="B119" s="4">
        <v>8</v>
      </c>
      <c r="C119" s="4" t="s">
        <v>359</v>
      </c>
      <c r="D119" s="4" t="s">
        <v>364</v>
      </c>
      <c r="F119" s="4">
        <f t="shared" si="64"/>
        <v>1</v>
      </c>
      <c r="G119" s="4">
        <f t="shared" si="65"/>
        <v>1</v>
      </c>
      <c r="H119" s="4">
        <f t="shared" si="66"/>
      </c>
      <c r="I119" s="4">
        <f t="shared" si="61"/>
        <v>11</v>
      </c>
      <c r="J119" s="4">
        <f t="shared" si="67"/>
        <v>0</v>
      </c>
      <c r="K119" s="4">
        <f t="shared" si="68"/>
        <v>0</v>
      </c>
      <c r="L119" s="4">
        <f t="shared" si="48"/>
      </c>
      <c r="M119" s="4">
        <f t="shared" si="49"/>
        <v>0</v>
      </c>
      <c r="N119" s="4">
        <f t="shared" si="50"/>
      </c>
      <c r="O119" s="4" t="str">
        <f t="shared" si="51"/>
        <v>Ice</v>
      </c>
      <c r="P119" s="4">
        <f t="shared" si="69"/>
        <v>0</v>
      </c>
      <c r="Q119" s="4">
        <f t="shared" si="52"/>
        <v>0</v>
      </c>
      <c r="R119" s="4">
        <f t="shared" si="45"/>
      </c>
      <c r="S119" s="4">
        <f t="shared" si="53"/>
        <v>0</v>
      </c>
      <c r="T119" s="4">
        <f t="shared" si="54"/>
        <v>1</v>
      </c>
      <c r="U119" s="5">
        <f t="shared" si="70"/>
        <v>15</v>
      </c>
      <c r="V119" s="5">
        <f t="shared" si="55"/>
        <v>15</v>
      </c>
      <c r="X119" s="5">
        <f t="shared" si="62"/>
        <v>15</v>
      </c>
      <c r="Z119" s="5" t="s">
        <v>64</v>
      </c>
      <c r="AB119" s="5">
        <f>MIN(50,5+INT(X119/10)+INT(INT((X119+1)/2)/5))</f>
        <v>7</v>
      </c>
      <c r="AD119" s="6" t="s">
        <v>89</v>
      </c>
      <c r="AE119" s="4" t="s">
        <v>736</v>
      </c>
      <c r="AH119" s="4" t="b">
        <f t="shared" si="56"/>
        <v>0</v>
      </c>
      <c r="AI119" s="4" t="s">
        <v>364</v>
      </c>
      <c r="AO119" s="4">
        <f>COUNTIF(SpellbooksOwned!$D$2:$K$49,$A119)</f>
        <v>1</v>
      </c>
      <c r="AP119" s="4">
        <f>IF(ISBLANK(AI119),0,VLOOKUP(AI119,SpellbooksOwned!$A$1:$B$49,2,FALSE))</f>
        <v>0</v>
      </c>
      <c r="AQ119" s="4">
        <f>IF(ISBLANK(AJ119),0,VLOOKUP(AJ119,SpellbooksOwned!$A$1:$B$49,2,FALSE))</f>
        <v>0</v>
      </c>
      <c r="AR119" s="4">
        <f>IF(ISBLANK(AK119),0,VLOOKUP(AK119,SpellbooksOwned!$A$1:$B$49,2,FALSE))</f>
        <v>0</v>
      </c>
      <c r="AS119" s="4">
        <f>IF(ISBLANK(AL119),0,VLOOKUP(AL119,SpellbooksOwned!$A$1:$B$49,2,FALSE))</f>
        <v>0</v>
      </c>
      <c r="AT119" s="4">
        <f>IF(ISBLANK(AM119),0,VLOOKUP(AM119,SpellbooksOwned!$A$1:$B$49,2,FALSE))</f>
        <v>0</v>
      </c>
      <c r="AU119" s="4">
        <f>IF(ISBLANK(AN119),0,VLOOKUP(AN119,SpellbooksOwned!$A$1:$B$49,2,FALSE))</f>
        <v>0</v>
      </c>
      <c r="AV119" s="4">
        <f t="shared" si="57"/>
        <v>226</v>
      </c>
      <c r="AW119" s="26">
        <f t="shared" si="58"/>
        <v>100</v>
      </c>
      <c r="AX119" s="29">
        <f t="shared" si="63"/>
        <v>0.9985109323648599</v>
      </c>
      <c r="AY119" s="4" t="str">
        <f t="shared" si="59"/>
        <v>Useless</v>
      </c>
      <c r="AZ119" s="4"/>
    </row>
    <row r="120" spans="1:52" ht="12.75">
      <c r="A120" s="4" t="s">
        <v>483</v>
      </c>
      <c r="B120" s="4">
        <v>1</v>
      </c>
      <c r="C120" s="4" t="s">
        <v>373</v>
      </c>
      <c r="D120" s="4" t="s">
        <v>383</v>
      </c>
      <c r="F120" s="4">
        <f t="shared" si="64"/>
        <v>1</v>
      </c>
      <c r="G120" s="4">
        <f t="shared" si="65"/>
        <v>1</v>
      </c>
      <c r="H120" s="4">
        <f t="shared" si="66"/>
      </c>
      <c r="I120" s="4">
        <f t="shared" si="61"/>
        <v>11</v>
      </c>
      <c r="J120" s="4">
        <f t="shared" si="67"/>
        <v>0</v>
      </c>
      <c r="K120" s="4">
        <f t="shared" si="68"/>
        <v>0</v>
      </c>
      <c r="L120" s="4">
        <f t="shared" si="48"/>
      </c>
      <c r="M120" s="4" t="str">
        <f t="shared" si="49"/>
        <v>Air</v>
      </c>
      <c r="N120" s="4">
        <f t="shared" si="50"/>
        <v>0</v>
      </c>
      <c r="O120" s="4">
        <f t="shared" si="51"/>
        <v>0</v>
      </c>
      <c r="P120" s="4">
        <f t="shared" si="69"/>
      </c>
      <c r="Q120" s="4">
        <f t="shared" si="52"/>
        <v>0</v>
      </c>
      <c r="R120" s="4">
        <f t="shared" si="45"/>
      </c>
      <c r="S120" s="4">
        <f t="shared" si="53"/>
        <v>0</v>
      </c>
      <c r="T120" s="4">
        <f t="shared" si="54"/>
        <v>1</v>
      </c>
      <c r="U120" s="5">
        <f t="shared" si="70"/>
        <v>15</v>
      </c>
      <c r="V120" s="5">
        <f t="shared" si="55"/>
        <v>15</v>
      </c>
      <c r="W120" s="5">
        <v>25</v>
      </c>
      <c r="X120" s="5">
        <f t="shared" si="62"/>
        <v>15</v>
      </c>
      <c r="Y120" s="6">
        <f>1*(8+INT(X120/4)+1)/2</f>
        <v>6</v>
      </c>
      <c r="Z120" s="5" t="s">
        <v>938</v>
      </c>
      <c r="AA120" s="5">
        <f>8+INT(X120/5)</f>
        <v>11</v>
      </c>
      <c r="AB120" s="5">
        <v>1</v>
      </c>
      <c r="AD120" s="6" t="s">
        <v>1148</v>
      </c>
      <c r="AE120" s="4" t="s">
        <v>792</v>
      </c>
      <c r="AF120" s="4" t="s">
        <v>955</v>
      </c>
      <c r="AH120" s="4" t="b">
        <f t="shared" si="56"/>
        <v>1</v>
      </c>
      <c r="AI120" s="4" t="s">
        <v>1016</v>
      </c>
      <c r="AJ120" s="4" t="s">
        <v>659</v>
      </c>
      <c r="AO120" s="4">
        <f>COUNTIF(SpellbooksOwned!$D$2:$K$49,$A120)</f>
        <v>2</v>
      </c>
      <c r="AP120" s="4">
        <f>IF(ISBLANK(AI120),0,VLOOKUP(AI120,SpellbooksOwned!$A$1:$B$49,2,FALSE))</f>
        <v>1</v>
      </c>
      <c r="AQ120" s="4">
        <f>IF(ISBLANK(AJ120),0,VLOOKUP(AJ120,SpellbooksOwned!$A$1:$B$49,2,FALSE))</f>
        <v>1</v>
      </c>
      <c r="AR120" s="4">
        <f>IF(ISBLANK(AK120),0,VLOOKUP(AK120,SpellbooksOwned!$A$1:$B$49,2,FALSE))</f>
        <v>0</v>
      </c>
      <c r="AS120" s="4">
        <f>IF(ISBLANK(AL120),0,VLOOKUP(AL120,SpellbooksOwned!$A$1:$B$49,2,FALSE))</f>
        <v>0</v>
      </c>
      <c r="AT120" s="4">
        <f>IF(ISBLANK(AM120),0,VLOOKUP(AM120,SpellbooksOwned!$A$1:$B$49,2,FALSE))</f>
        <v>0</v>
      </c>
      <c r="AU120" s="4">
        <f>IF(ISBLANK(AN120),0,VLOOKUP(AN120,SpellbooksOwned!$A$1:$B$49,2,FALSE))</f>
        <v>0</v>
      </c>
      <c r="AV120" s="4">
        <f t="shared" si="57"/>
        <v>-31</v>
      </c>
      <c r="AW120" s="26">
        <f t="shared" si="58"/>
        <v>18</v>
      </c>
      <c r="AX120" s="29">
        <f t="shared" si="63"/>
        <v>0.025587989795647026</v>
      </c>
      <c r="AY120" s="4" t="str">
        <f t="shared" si="59"/>
        <v>Great</v>
      </c>
      <c r="AZ120" s="4"/>
    </row>
    <row r="121" spans="1:52" ht="12.75">
      <c r="A121" s="4" t="s">
        <v>937</v>
      </c>
      <c r="B121" s="4">
        <v>1</v>
      </c>
      <c r="C121" s="4" t="s">
        <v>373</v>
      </c>
      <c r="D121" s="4" t="s">
        <v>383</v>
      </c>
      <c r="F121" s="4">
        <f t="shared" si="64"/>
        <v>1</v>
      </c>
      <c r="G121" s="4">
        <f t="shared" si="65"/>
        <v>1</v>
      </c>
      <c r="H121" s="4">
        <f t="shared" si="66"/>
      </c>
      <c r="I121" s="4">
        <f t="shared" si="61"/>
        <v>11</v>
      </c>
      <c r="J121" s="4">
        <f t="shared" si="67"/>
        <v>0</v>
      </c>
      <c r="K121" s="4">
        <f t="shared" si="68"/>
        <v>0</v>
      </c>
      <c r="L121" s="4">
        <f t="shared" si="48"/>
      </c>
      <c r="M121" s="4" t="str">
        <f t="shared" si="49"/>
        <v>Air</v>
      </c>
      <c r="N121" s="4">
        <f t="shared" si="50"/>
        <v>0</v>
      </c>
      <c r="O121" s="4">
        <f t="shared" si="51"/>
        <v>0</v>
      </c>
      <c r="P121" s="4">
        <f t="shared" si="69"/>
      </c>
      <c r="Q121" s="4">
        <f t="shared" si="52"/>
        <v>0</v>
      </c>
      <c r="R121" s="4">
        <f t="shared" si="45"/>
      </c>
      <c r="S121" s="4">
        <f t="shared" si="53"/>
        <v>0</v>
      </c>
      <c r="T121" s="4">
        <f t="shared" si="54"/>
        <v>1</v>
      </c>
      <c r="U121" s="5">
        <f t="shared" si="70"/>
        <v>15</v>
      </c>
      <c r="V121" s="5">
        <f t="shared" si="55"/>
        <v>15</v>
      </c>
      <c r="W121" s="5">
        <v>50</v>
      </c>
      <c r="X121" s="5">
        <f t="shared" si="62"/>
        <v>15</v>
      </c>
      <c r="Y121" s="6">
        <f>2*(4+INT(X121/3)+1)/2</f>
        <v>10</v>
      </c>
      <c r="Z121" s="5">
        <f>MIN(4,(2+INT((X121+1)/2/20)))</f>
        <v>2</v>
      </c>
      <c r="AA121" s="5">
        <f>13+INT(X121/10)</f>
        <v>14</v>
      </c>
      <c r="AB121" s="5">
        <v>1</v>
      </c>
      <c r="AD121" s="6" t="s">
        <v>1148</v>
      </c>
      <c r="AE121" s="4" t="s">
        <v>792</v>
      </c>
      <c r="AF121" s="4" t="s">
        <v>956</v>
      </c>
      <c r="AH121" s="4" t="b">
        <f t="shared" si="56"/>
        <v>1</v>
      </c>
      <c r="AI121" s="4" t="s">
        <v>1016</v>
      </c>
      <c r="AJ121" s="4" t="s">
        <v>659</v>
      </c>
      <c r="AO121" s="4">
        <f>COUNTIF(SpellbooksOwned!$D$2:$K$49,$A121)</f>
        <v>0</v>
      </c>
      <c r="AP121" s="4">
        <f>IF(ISBLANK(AI121),0,VLOOKUP(AI121,SpellbooksOwned!$A$1:$B$49,2,FALSE))</f>
        <v>1</v>
      </c>
      <c r="AQ121" s="4">
        <f>IF(ISBLANK(AJ121),0,VLOOKUP(AJ121,SpellbooksOwned!$A$1:$B$49,2,FALSE))</f>
        <v>1</v>
      </c>
      <c r="AR121" s="4">
        <f>IF(ISBLANK(AK121),0,VLOOKUP(AK121,SpellbooksOwned!$A$1:$B$49,2,FALSE))</f>
        <v>0</v>
      </c>
      <c r="AS121" s="4">
        <f>IF(ISBLANK(AL121),0,VLOOKUP(AL121,SpellbooksOwned!$A$1:$B$49,2,FALSE))</f>
        <v>0</v>
      </c>
      <c r="AT121" s="4">
        <f>IF(ISBLANK(AM121),0,VLOOKUP(AM121,SpellbooksOwned!$A$1:$B$49,2,FALSE))</f>
        <v>0</v>
      </c>
      <c r="AU121" s="4">
        <f>IF(ISBLANK(AN121),0,VLOOKUP(AN121,SpellbooksOwned!$A$1:$B$49,2,FALSE))</f>
        <v>0</v>
      </c>
      <c r="AV121" s="4">
        <f t="shared" si="57"/>
        <v>-31</v>
      </c>
      <c r="AW121" s="26">
        <f t="shared" si="58"/>
        <v>18</v>
      </c>
      <c r="AX121" s="29">
        <f t="shared" si="63"/>
        <v>0.025587989795647026</v>
      </c>
      <c r="AY121" s="4" t="str">
        <f t="shared" si="59"/>
        <v>Great</v>
      </c>
      <c r="AZ121" s="4"/>
    </row>
    <row r="122" spans="1:52" ht="12.75">
      <c r="A122" s="4" t="s">
        <v>484</v>
      </c>
      <c r="B122" s="4">
        <v>4</v>
      </c>
      <c r="C122" s="4" t="s">
        <v>458</v>
      </c>
      <c r="D122" s="4" t="s">
        <v>359</v>
      </c>
      <c r="F122" s="4">
        <f t="shared" si="64"/>
        <v>1</v>
      </c>
      <c r="G122" s="4">
        <f t="shared" si="65"/>
        <v>1</v>
      </c>
      <c r="H122" s="4">
        <f t="shared" si="66"/>
      </c>
      <c r="I122" s="4">
        <f t="shared" si="61"/>
        <v>11</v>
      </c>
      <c r="J122" s="4">
        <f t="shared" si="67"/>
        <v>0</v>
      </c>
      <c r="K122" s="4">
        <f t="shared" si="68"/>
        <v>0</v>
      </c>
      <c r="L122" s="4">
        <f t="shared" si="48"/>
      </c>
      <c r="M122" s="4">
        <f t="shared" si="49"/>
        <v>0</v>
      </c>
      <c r="N122" s="4">
        <f t="shared" si="50"/>
      </c>
      <c r="O122" s="4">
        <f t="shared" si="51"/>
        <v>0</v>
      </c>
      <c r="P122" s="4">
        <f t="shared" si="69"/>
      </c>
      <c r="Q122" s="4">
        <f t="shared" si="52"/>
        <v>0</v>
      </c>
      <c r="R122" s="4">
        <f t="shared" si="45"/>
      </c>
      <c r="S122" s="4">
        <f t="shared" si="53"/>
        <v>0</v>
      </c>
      <c r="T122" s="4">
        <f t="shared" si="54"/>
        <v>1</v>
      </c>
      <c r="U122" s="5">
        <f t="shared" si="70"/>
        <v>15</v>
      </c>
      <c r="V122" s="5">
        <f t="shared" si="55"/>
        <v>15</v>
      </c>
      <c r="X122" s="5">
        <f t="shared" si="62"/>
        <v>15</v>
      </c>
      <c r="Z122" s="5" t="s">
        <v>64</v>
      </c>
      <c r="AB122" s="5">
        <f>MIN(100,10+(2+INT(X122/2)+1)/2)</f>
        <v>15</v>
      </c>
      <c r="AE122" s="4" t="s">
        <v>832</v>
      </c>
      <c r="AH122" s="4" t="b">
        <f t="shared" si="56"/>
        <v>1</v>
      </c>
      <c r="AI122" s="4" t="s">
        <v>639</v>
      </c>
      <c r="AO122" s="4">
        <f>COUNTIF(SpellbooksOwned!$D$2:$K$49,$A122)</f>
        <v>1</v>
      </c>
      <c r="AP122" s="4">
        <f>IF(ISBLANK(AI122),0,VLOOKUP(AI122,SpellbooksOwned!$A$1:$B$49,2,FALSE))</f>
        <v>1</v>
      </c>
      <c r="AQ122" s="4">
        <f>IF(ISBLANK(AJ122),0,VLOOKUP(AJ122,SpellbooksOwned!$A$1:$B$49,2,FALSE))</f>
        <v>0</v>
      </c>
      <c r="AR122" s="4">
        <f>IF(ISBLANK(AK122),0,VLOOKUP(AK122,SpellbooksOwned!$A$1:$B$49,2,FALSE))</f>
        <v>0</v>
      </c>
      <c r="AS122" s="4">
        <f>IF(ISBLANK(AL122),0,VLOOKUP(AL122,SpellbooksOwned!$A$1:$B$49,2,FALSE))</f>
        <v>0</v>
      </c>
      <c r="AT122" s="4">
        <f>IF(ISBLANK(AM122),0,VLOOKUP(AM122,SpellbooksOwned!$A$1:$B$49,2,FALSE))</f>
        <v>0</v>
      </c>
      <c r="AU122" s="4">
        <f>IF(ISBLANK(AN122),0,VLOOKUP(AN122,SpellbooksOwned!$A$1:$B$49,2,FALSE))</f>
        <v>0</v>
      </c>
      <c r="AV122" s="4">
        <f t="shared" si="57"/>
        <v>36</v>
      </c>
      <c r="AW122" s="26">
        <f t="shared" si="58"/>
        <v>41</v>
      </c>
      <c r="AX122" s="29">
        <f t="shared" si="63"/>
        <v>0.28433880816463963</v>
      </c>
      <c r="AY122" s="4" t="str">
        <f t="shared" si="59"/>
        <v>Fair</v>
      </c>
      <c r="AZ122" s="4"/>
    </row>
    <row r="123" spans="1:52" ht="12.75">
      <c r="A123" s="4" t="s">
        <v>485</v>
      </c>
      <c r="B123" s="4">
        <v>3</v>
      </c>
      <c r="C123" s="4" t="s">
        <v>359</v>
      </c>
      <c r="F123" s="4">
        <f t="shared" si="64"/>
        <v>1</v>
      </c>
      <c r="G123" s="4">
        <f t="shared" si="65"/>
      </c>
      <c r="H123" s="4">
        <f t="shared" si="66"/>
      </c>
      <c r="I123" s="4">
        <f t="shared" si="61"/>
        <v>11</v>
      </c>
      <c r="J123" s="4">
        <f t="shared" si="67"/>
        <v>0</v>
      </c>
      <c r="K123" s="4">
        <f t="shared" si="68"/>
      </c>
      <c r="L123" s="4">
        <f t="shared" si="48"/>
      </c>
      <c r="M123" s="4">
        <f t="shared" si="49"/>
        <v>0</v>
      </c>
      <c r="N123" s="4">
        <f t="shared" si="50"/>
      </c>
      <c r="O123" s="4">
        <f t="shared" si="51"/>
        <v>0</v>
      </c>
      <c r="P123" s="4">
        <f t="shared" si="69"/>
      </c>
      <c r="Q123" s="4">
        <f t="shared" si="52"/>
        <v>0</v>
      </c>
      <c r="R123" s="4">
        <f t="shared" si="45"/>
      </c>
      <c r="S123" s="4">
        <f t="shared" si="53"/>
        <v>0</v>
      </c>
      <c r="T123" s="4">
        <f t="shared" si="54"/>
        <v>1</v>
      </c>
      <c r="U123" s="5">
        <f t="shared" si="70"/>
        <v>15</v>
      </c>
      <c r="V123" s="5">
        <f t="shared" si="55"/>
        <v>15</v>
      </c>
      <c r="X123" s="5">
        <f t="shared" si="62"/>
        <v>15</v>
      </c>
      <c r="Z123" s="5" t="s">
        <v>64</v>
      </c>
      <c r="AB123" s="5">
        <v>1</v>
      </c>
      <c r="AD123" s="6" t="s">
        <v>148</v>
      </c>
      <c r="AE123" s="4" t="s">
        <v>767</v>
      </c>
      <c r="AH123" s="4" t="b">
        <f t="shared" si="56"/>
        <v>1</v>
      </c>
      <c r="AI123" s="4" t="s">
        <v>593</v>
      </c>
      <c r="AJ123" s="4" t="s">
        <v>1017</v>
      </c>
      <c r="AO123" s="4">
        <f>COUNTIF(SpellbooksOwned!$D$2:$K$49,$A123)</f>
        <v>2</v>
      </c>
      <c r="AP123" s="4">
        <f>IF(ISBLANK(AI123),0,VLOOKUP(AI123,SpellbooksOwned!$A$1:$B$49,2,FALSE))</f>
        <v>0</v>
      </c>
      <c r="AQ123" s="4">
        <f>IF(ISBLANK(AJ123),0,VLOOKUP(AJ123,SpellbooksOwned!$A$1:$B$49,2,FALSE))</f>
        <v>1</v>
      </c>
      <c r="AR123" s="4">
        <f>IF(ISBLANK(AK123),0,VLOOKUP(AK123,SpellbooksOwned!$A$1:$B$49,2,FALSE))</f>
        <v>0</v>
      </c>
      <c r="AS123" s="4">
        <f>IF(ISBLANK(AL123),0,VLOOKUP(AL123,SpellbooksOwned!$A$1:$B$49,2,FALSE))</f>
        <v>0</v>
      </c>
      <c r="AT123" s="4">
        <f>IF(ISBLANK(AM123),0,VLOOKUP(AM123,SpellbooksOwned!$A$1:$B$49,2,FALSE))</f>
        <v>0</v>
      </c>
      <c r="AU123" s="4">
        <f>IF(ISBLANK(AN123),0,VLOOKUP(AN123,SpellbooksOwned!$A$1:$B$49,2,FALSE))</f>
        <v>0</v>
      </c>
      <c r="AV123" s="4">
        <f t="shared" si="57"/>
        <v>1</v>
      </c>
      <c r="AW123" s="26">
        <f t="shared" si="58"/>
        <v>28</v>
      </c>
      <c r="AX123" s="29">
        <f t="shared" si="63"/>
        <v>0.08850805170850018</v>
      </c>
      <c r="AY123" s="4" t="str">
        <f t="shared" si="59"/>
        <v>Very Good</v>
      </c>
      <c r="AZ123" s="4"/>
    </row>
    <row r="124" spans="1:52" ht="12.75">
      <c r="A124" s="4" t="s">
        <v>486</v>
      </c>
      <c r="B124" s="4">
        <v>5</v>
      </c>
      <c r="C124" s="4" t="s">
        <v>477</v>
      </c>
      <c r="F124" s="4">
        <f t="shared" si="64"/>
        <v>1</v>
      </c>
      <c r="G124" s="4">
        <f t="shared" si="65"/>
      </c>
      <c r="H124" s="4">
        <f t="shared" si="66"/>
      </c>
      <c r="I124" s="4">
        <f t="shared" si="61"/>
        <v>11</v>
      </c>
      <c r="J124" s="4">
        <f t="shared" si="67"/>
        <v>0</v>
      </c>
      <c r="K124" s="4">
        <f t="shared" si="68"/>
      </c>
      <c r="L124" s="4">
        <f t="shared" si="48"/>
      </c>
      <c r="M124" s="4">
        <f t="shared" si="49"/>
        <v>0</v>
      </c>
      <c r="N124" s="4">
        <f t="shared" si="50"/>
      </c>
      <c r="O124" s="4">
        <f t="shared" si="51"/>
        <v>0</v>
      </c>
      <c r="P124" s="4">
        <f t="shared" si="69"/>
      </c>
      <c r="Q124" s="4">
        <f t="shared" si="52"/>
        <v>0</v>
      </c>
      <c r="R124" s="4">
        <f t="shared" si="45"/>
      </c>
      <c r="S124" s="4">
        <f t="shared" si="53"/>
        <v>0</v>
      </c>
      <c r="T124" s="4">
        <f t="shared" si="54"/>
        <v>1</v>
      </c>
      <c r="U124" s="5">
        <f t="shared" si="70"/>
        <v>15</v>
      </c>
      <c r="V124" s="5">
        <f t="shared" si="55"/>
        <v>15</v>
      </c>
      <c r="X124" s="5">
        <f t="shared" si="62"/>
        <v>15</v>
      </c>
      <c r="Z124" s="5" t="s">
        <v>908</v>
      </c>
      <c r="AB124" s="5">
        <f>VLOOKUP(AG124,Enchantments!$E$8:$G$36,3,FALSE)</f>
        <v>20</v>
      </c>
      <c r="AD124" s="6" t="s">
        <v>744</v>
      </c>
      <c r="AE124" s="4" t="s">
        <v>729</v>
      </c>
      <c r="AG124" t="s">
        <v>512</v>
      </c>
      <c r="AH124" s="4" t="b">
        <f t="shared" si="56"/>
        <v>0</v>
      </c>
      <c r="AI124" s="4" t="s">
        <v>38</v>
      </c>
      <c r="AO124" s="4">
        <f>COUNTIF(SpellbooksOwned!$D$2:$K$49,$A124)</f>
        <v>1</v>
      </c>
      <c r="AP124" s="4">
        <f>IF(ISBLANK(AI124),0,VLOOKUP(AI124,SpellbooksOwned!$A$1:$B$49,2,FALSE))</f>
        <v>0</v>
      </c>
      <c r="AQ124" s="4">
        <f>IF(ISBLANK(AJ124),0,VLOOKUP(AJ124,SpellbooksOwned!$A$1:$B$49,2,FALSE))</f>
        <v>0</v>
      </c>
      <c r="AR124" s="4">
        <f>IF(ISBLANK(AK124),0,VLOOKUP(AK124,SpellbooksOwned!$A$1:$B$49,2,FALSE))</f>
        <v>0</v>
      </c>
      <c r="AS124" s="4">
        <f>IF(ISBLANK(AL124),0,VLOOKUP(AL124,SpellbooksOwned!$A$1:$B$49,2,FALSE))</f>
        <v>0</v>
      </c>
      <c r="AT124" s="4">
        <f>IF(ISBLANK(AM124),0,VLOOKUP(AM124,SpellbooksOwned!$A$1:$B$49,2,FALSE))</f>
        <v>0</v>
      </c>
      <c r="AU124" s="4">
        <f>IF(ISBLANK(AN124),0,VLOOKUP(AN124,SpellbooksOwned!$A$1:$B$49,2,FALSE))</f>
        <v>0</v>
      </c>
      <c r="AV124" s="4">
        <f t="shared" si="57"/>
        <v>66</v>
      </c>
      <c r="AW124" s="26">
        <f t="shared" si="58"/>
        <v>66</v>
      </c>
      <c r="AX124" s="29">
        <f t="shared" si="63"/>
        <v>0.8238144797733274</v>
      </c>
      <c r="AY124" s="4" t="str">
        <f t="shared" si="59"/>
        <v>Very Poor</v>
      </c>
      <c r="AZ124" s="4"/>
    </row>
    <row r="125" spans="1:52" ht="12.75">
      <c r="A125" s="4" t="s">
        <v>487</v>
      </c>
      <c r="B125" s="4">
        <v>9</v>
      </c>
      <c r="C125" s="4" t="s">
        <v>373</v>
      </c>
      <c r="D125" s="4" t="s">
        <v>383</v>
      </c>
      <c r="F125" s="4">
        <f t="shared" si="64"/>
        <v>1</v>
      </c>
      <c r="G125" s="4">
        <f t="shared" si="65"/>
        <v>1</v>
      </c>
      <c r="H125" s="4">
        <f t="shared" si="66"/>
      </c>
      <c r="I125" s="4">
        <f t="shared" si="61"/>
        <v>11</v>
      </c>
      <c r="J125" s="4">
        <f t="shared" si="67"/>
        <v>0</v>
      </c>
      <c r="K125" s="4">
        <f t="shared" si="68"/>
        <v>0</v>
      </c>
      <c r="L125" s="4">
        <f t="shared" si="48"/>
      </c>
      <c r="M125" s="4" t="str">
        <f t="shared" si="49"/>
        <v>Air</v>
      </c>
      <c r="N125" s="4">
        <f t="shared" si="50"/>
        <v>0</v>
      </c>
      <c r="O125" s="4">
        <f t="shared" si="51"/>
        <v>0</v>
      </c>
      <c r="P125" s="4">
        <f t="shared" si="69"/>
      </c>
      <c r="Q125" s="4">
        <f t="shared" si="52"/>
        <v>0</v>
      </c>
      <c r="R125" s="4">
        <f t="shared" si="45"/>
      </c>
      <c r="S125" s="4">
        <f t="shared" si="53"/>
        <v>0</v>
      </c>
      <c r="T125" s="4">
        <f t="shared" si="54"/>
        <v>1</v>
      </c>
      <c r="U125" s="5">
        <f t="shared" si="70"/>
        <v>15</v>
      </c>
      <c r="V125" s="5">
        <f t="shared" si="55"/>
        <v>15</v>
      </c>
      <c r="W125" s="12"/>
      <c r="X125" s="5">
        <f t="shared" si="62"/>
        <v>15</v>
      </c>
      <c r="Y125" s="6">
        <f>3*((5+INT(X125/4)+1)/2)</f>
        <v>13.5</v>
      </c>
      <c r="Z125" s="5">
        <f>3+INT(CharacterProperties!B9/5)</f>
        <v>3</v>
      </c>
      <c r="AA125" s="5" t="s">
        <v>149</v>
      </c>
      <c r="AB125" s="5">
        <v>1</v>
      </c>
      <c r="AD125" s="6" t="s">
        <v>162</v>
      </c>
      <c r="AE125" s="4" t="s">
        <v>778</v>
      </c>
      <c r="AH125" s="4" t="b">
        <f t="shared" si="56"/>
        <v>1</v>
      </c>
      <c r="AI125" s="4" t="s">
        <v>1014</v>
      </c>
      <c r="AJ125" s="4" t="s">
        <v>39</v>
      </c>
      <c r="AK125" s="4" t="s">
        <v>37</v>
      </c>
      <c r="AO125" s="4">
        <f>COUNTIF(SpellbooksOwned!$D$2:$K$49,$A125)</f>
        <v>3</v>
      </c>
      <c r="AP125" s="4">
        <f>IF(ISBLANK(AI125),0,VLOOKUP(AI125,SpellbooksOwned!$A$1:$B$49,2,FALSE))</f>
        <v>1</v>
      </c>
      <c r="AQ125" s="4">
        <f>IF(ISBLANK(AJ125),0,VLOOKUP(AJ125,SpellbooksOwned!$A$1:$B$49,2,FALSE))</f>
        <v>0</v>
      </c>
      <c r="AR125" s="4">
        <f>IF(ISBLANK(AK125),0,VLOOKUP(AK125,SpellbooksOwned!$A$1:$B$49,2,FALSE))</f>
        <v>1</v>
      </c>
      <c r="AS125" s="4">
        <f>IF(ISBLANK(AL125),0,VLOOKUP(AL125,SpellbooksOwned!$A$1:$B$49,2,FALSE))</f>
        <v>0</v>
      </c>
      <c r="AT125" s="4">
        <f>IF(ISBLANK(AM125),0,VLOOKUP(AM125,SpellbooksOwned!$A$1:$B$49,2,FALSE))</f>
        <v>0</v>
      </c>
      <c r="AU125" s="4">
        <f>IF(ISBLANK(AN125),0,VLOOKUP(AN125,SpellbooksOwned!$A$1:$B$49,2,FALSE))</f>
        <v>0</v>
      </c>
      <c r="AV125" s="4">
        <f t="shared" si="57"/>
        <v>296</v>
      </c>
      <c r="AW125" s="26">
        <f t="shared" si="58"/>
        <v>100</v>
      </c>
      <c r="AX125" s="29">
        <f t="shared" si="63"/>
        <v>0.9985109323648599</v>
      </c>
      <c r="AY125" s="4" t="str">
        <f t="shared" si="59"/>
        <v>Useless</v>
      </c>
      <c r="AZ125" s="4"/>
    </row>
    <row r="126" spans="1:52" ht="12.75">
      <c r="A126" s="4" t="s">
        <v>890</v>
      </c>
      <c r="B126" s="4">
        <v>7</v>
      </c>
      <c r="C126" s="4" t="s">
        <v>589</v>
      </c>
      <c r="F126" s="4">
        <f t="shared" si="64"/>
        <v>6</v>
      </c>
      <c r="G126" s="4">
        <f t="shared" si="65"/>
      </c>
      <c r="H126" s="4">
        <f t="shared" si="66"/>
      </c>
      <c r="I126" s="4">
        <f t="shared" si="61"/>
        <v>21</v>
      </c>
      <c r="J126" s="4">
        <f t="shared" si="67"/>
        <v>0</v>
      </c>
      <c r="K126" s="4">
        <f t="shared" si="68"/>
      </c>
      <c r="L126" s="4">
        <f t="shared" si="48"/>
      </c>
      <c r="M126" s="4">
        <f t="shared" si="49"/>
        <v>0</v>
      </c>
      <c r="N126" s="4">
        <f t="shared" si="50"/>
      </c>
      <c r="O126" s="4">
        <f t="shared" si="51"/>
        <v>0</v>
      </c>
      <c r="P126" s="4">
        <f t="shared" si="69"/>
      </c>
      <c r="Q126" s="4">
        <f t="shared" si="52"/>
        <v>0</v>
      </c>
      <c r="R126" s="4">
        <f t="shared" si="45"/>
      </c>
      <c r="S126" s="4">
        <f t="shared" si="53"/>
        <v>0</v>
      </c>
      <c r="T126" s="4">
        <f t="shared" si="54"/>
        <v>1</v>
      </c>
      <c r="U126" s="5">
        <f t="shared" si="70"/>
        <v>29</v>
      </c>
      <c r="V126" s="5">
        <f t="shared" si="55"/>
        <v>29</v>
      </c>
      <c r="X126" s="5">
        <f t="shared" si="62"/>
        <v>29</v>
      </c>
      <c r="AD126" s="6" t="s">
        <v>741</v>
      </c>
      <c r="AE126" s="4" t="s">
        <v>889</v>
      </c>
      <c r="AH126" s="4" t="e">
        <f t="shared" si="56"/>
        <v>#N/A</v>
      </c>
      <c r="AI126" s="4" t="s">
        <v>1032</v>
      </c>
      <c r="AO126" s="4">
        <f>COUNTIF(SpellbooksOwned!$D$2:$K$49,$A126)</f>
        <v>0</v>
      </c>
      <c r="AP126" s="4" t="e">
        <f>IF(ISBLANK(AI126),0,VLOOKUP(AI126,SpellbooksOwned!$A$1:$B$49,2,FALSE))</f>
        <v>#N/A</v>
      </c>
      <c r="AQ126" s="4">
        <f>IF(ISBLANK(AJ126),0,VLOOKUP(AJ126,SpellbooksOwned!$A$1:$B$49,2,FALSE))</f>
        <v>0</v>
      </c>
      <c r="AR126" s="4">
        <f>IF(ISBLANK(AK126),0,VLOOKUP(AK126,SpellbooksOwned!$A$1:$B$49,2,FALSE))</f>
        <v>0</v>
      </c>
      <c r="AS126" s="4">
        <f>IF(ISBLANK(AL126),0,VLOOKUP(AL126,SpellbooksOwned!$A$1:$B$49,2,FALSE))</f>
        <v>0</v>
      </c>
      <c r="AT126" s="4">
        <f>IF(ISBLANK(AM126),0,VLOOKUP(AM126,SpellbooksOwned!$A$1:$B$49,2,FALSE))</f>
        <v>0</v>
      </c>
      <c r="AU126" s="4">
        <f>IF(ISBLANK(AN126),0,VLOOKUP(AN126,SpellbooksOwned!$A$1:$B$49,2,FALSE))</f>
        <v>0</v>
      </c>
      <c r="AV126" s="4">
        <f t="shared" si="57"/>
        <v>106</v>
      </c>
      <c r="AW126" s="26">
        <f t="shared" si="58"/>
        <v>100</v>
      </c>
      <c r="AX126" s="29">
        <f t="shared" si="63"/>
        <v>0.9985109323648599</v>
      </c>
      <c r="AY126" s="4" t="str">
        <f t="shared" si="59"/>
        <v>Useless</v>
      </c>
      <c r="AZ126" s="4"/>
    </row>
    <row r="127" spans="1:52" ht="12.75">
      <c r="A127" s="4" t="s">
        <v>488</v>
      </c>
      <c r="B127" s="4">
        <v>1</v>
      </c>
      <c r="C127" s="4" t="s">
        <v>374</v>
      </c>
      <c r="D127" s="4" t="s">
        <v>361</v>
      </c>
      <c r="F127" s="4">
        <f t="shared" si="64"/>
        <v>1</v>
      </c>
      <c r="G127" s="4">
        <f t="shared" si="65"/>
        <v>1</v>
      </c>
      <c r="H127" s="4">
        <f t="shared" si="66"/>
      </c>
      <c r="I127" s="4">
        <f t="shared" si="61"/>
        <v>11</v>
      </c>
      <c r="J127" s="4">
        <f t="shared" si="67"/>
        <v>0</v>
      </c>
      <c r="K127" s="4">
        <f t="shared" si="68"/>
        <v>0</v>
      </c>
      <c r="L127" s="4">
        <f t="shared" si="48"/>
      </c>
      <c r="M127" s="4" t="str">
        <f t="shared" si="49"/>
        <v>Earth</v>
      </c>
      <c r="N127" s="4">
        <f t="shared" si="50"/>
        <v>0</v>
      </c>
      <c r="O127" s="4">
        <f t="shared" si="51"/>
        <v>0</v>
      </c>
      <c r="P127" s="4">
        <f t="shared" si="69"/>
      </c>
      <c r="Q127" s="4">
        <f t="shared" si="52"/>
        <v>0</v>
      </c>
      <c r="R127" s="4">
        <f t="shared" si="45"/>
      </c>
      <c r="S127" s="4">
        <f t="shared" si="53"/>
        <v>0</v>
      </c>
      <c r="T127" s="4">
        <f t="shared" si="54"/>
        <v>1</v>
      </c>
      <c r="U127" s="5">
        <f t="shared" si="70"/>
        <v>15</v>
      </c>
      <c r="V127" s="5">
        <f t="shared" si="55"/>
        <v>15</v>
      </c>
      <c r="W127" s="5">
        <v>25</v>
      </c>
      <c r="X127" s="5">
        <f t="shared" si="62"/>
        <v>15</v>
      </c>
      <c r="Y127" s="6">
        <f>1*(3+INT((X127+1)/2/2)+1)/2</f>
        <v>4</v>
      </c>
      <c r="Z127" s="5" t="s">
        <v>934</v>
      </c>
      <c r="AA127" s="5">
        <f>8+INT(X127/7)</f>
        <v>10</v>
      </c>
      <c r="AB127" s="5">
        <v>1</v>
      </c>
      <c r="AD127" s="6" t="s">
        <v>936</v>
      </c>
      <c r="AE127" s="4" t="s">
        <v>825</v>
      </c>
      <c r="AF127" s="4" t="s">
        <v>951</v>
      </c>
      <c r="AH127" s="4" t="b">
        <f t="shared" si="56"/>
        <v>0</v>
      </c>
      <c r="AI127" s="4" t="s">
        <v>374</v>
      </c>
      <c r="AO127" s="4">
        <f>COUNTIF(SpellbooksOwned!$D$2:$K$49,$A127)</f>
        <v>1</v>
      </c>
      <c r="AP127" s="4">
        <f>IF(ISBLANK(AI127),0,VLOOKUP(AI127,SpellbooksOwned!$A$1:$B$49,2,FALSE))</f>
        <v>0</v>
      </c>
      <c r="AQ127" s="4">
        <f>IF(ISBLANK(AJ127),0,VLOOKUP(AJ127,SpellbooksOwned!$A$1:$B$49,2,FALSE))</f>
        <v>0</v>
      </c>
      <c r="AR127" s="4">
        <f>IF(ISBLANK(AK127),0,VLOOKUP(AK127,SpellbooksOwned!$A$1:$B$49,2,FALSE))</f>
        <v>0</v>
      </c>
      <c r="AS127" s="4">
        <f>IF(ISBLANK(AL127),0,VLOOKUP(AL127,SpellbooksOwned!$A$1:$B$49,2,FALSE))</f>
        <v>0</v>
      </c>
      <c r="AT127" s="4">
        <f>IF(ISBLANK(AM127),0,VLOOKUP(AM127,SpellbooksOwned!$A$1:$B$49,2,FALSE))</f>
        <v>0</v>
      </c>
      <c r="AU127" s="4">
        <f>IF(ISBLANK(AN127),0,VLOOKUP(AN127,SpellbooksOwned!$A$1:$B$49,2,FALSE))</f>
        <v>0</v>
      </c>
      <c r="AV127" s="4">
        <f t="shared" si="57"/>
        <v>-31</v>
      </c>
      <c r="AW127" s="26">
        <f t="shared" si="58"/>
        <v>18</v>
      </c>
      <c r="AX127" s="29">
        <f t="shared" si="63"/>
        <v>0.025587989795647026</v>
      </c>
      <c r="AY127" s="4" t="str">
        <f t="shared" si="59"/>
        <v>Great</v>
      </c>
      <c r="AZ127" s="4"/>
    </row>
    <row r="128" spans="1:52" ht="12.75">
      <c r="A128" s="4" t="s">
        <v>489</v>
      </c>
      <c r="B128" s="4">
        <v>3</v>
      </c>
      <c r="C128" s="4" t="s">
        <v>374</v>
      </c>
      <c r="D128" s="4" t="s">
        <v>359</v>
      </c>
      <c r="F128" s="4">
        <f t="shared" si="64"/>
        <v>1</v>
      </c>
      <c r="G128" s="4">
        <f t="shared" si="65"/>
        <v>1</v>
      </c>
      <c r="H128" s="4">
        <f t="shared" si="66"/>
      </c>
      <c r="I128" s="4">
        <f t="shared" si="61"/>
        <v>11</v>
      </c>
      <c r="J128" s="4">
        <f t="shared" si="67"/>
        <v>0</v>
      </c>
      <c r="K128" s="4">
        <f t="shared" si="68"/>
        <v>0</v>
      </c>
      <c r="L128" s="4">
        <f t="shared" si="48"/>
      </c>
      <c r="M128" s="4" t="str">
        <f t="shared" si="49"/>
        <v>Earth</v>
      </c>
      <c r="N128" s="4">
        <f t="shared" si="50"/>
        <v>0</v>
      </c>
      <c r="O128" s="4">
        <f t="shared" si="51"/>
        <v>0</v>
      </c>
      <c r="P128" s="4">
        <f t="shared" si="69"/>
      </c>
      <c r="Q128" s="4">
        <f t="shared" si="52"/>
        <v>0</v>
      </c>
      <c r="R128" s="4">
        <f t="shared" si="45"/>
      </c>
      <c r="S128" s="4">
        <f t="shared" si="53"/>
        <v>0</v>
      </c>
      <c r="T128" s="4">
        <f t="shared" si="54"/>
        <v>1</v>
      </c>
      <c r="U128" s="5">
        <f t="shared" si="70"/>
        <v>15</v>
      </c>
      <c r="V128" s="5">
        <f t="shared" si="55"/>
        <v>15</v>
      </c>
      <c r="X128" s="5">
        <f t="shared" si="62"/>
        <v>15</v>
      </c>
      <c r="Z128" s="5">
        <v>6</v>
      </c>
      <c r="AB128" s="5">
        <f>MIN(100,10+X128)</f>
        <v>25</v>
      </c>
      <c r="AD128" s="6" t="s">
        <v>745</v>
      </c>
      <c r="AE128" s="4" t="s">
        <v>819</v>
      </c>
      <c r="AH128" s="4" t="b">
        <f t="shared" si="56"/>
        <v>1</v>
      </c>
      <c r="AI128" s="4" t="s">
        <v>626</v>
      </c>
      <c r="AJ128" s="4" t="s">
        <v>27</v>
      </c>
      <c r="AO128" s="4">
        <f>COUNTIF(SpellbooksOwned!$D$2:$K$49,$A128)</f>
        <v>2</v>
      </c>
      <c r="AP128" s="4">
        <f>IF(ISBLANK(AI128),0,VLOOKUP(AI128,SpellbooksOwned!$A$1:$B$49,2,FALSE))</f>
        <v>1</v>
      </c>
      <c r="AQ128" s="4">
        <f>IF(ISBLANK(AJ128),0,VLOOKUP(AJ128,SpellbooksOwned!$A$1:$B$49,2,FALSE))</f>
        <v>1</v>
      </c>
      <c r="AR128" s="4">
        <f>IF(ISBLANK(AK128),0,VLOOKUP(AK128,SpellbooksOwned!$A$1:$B$49,2,FALSE))</f>
        <v>0</v>
      </c>
      <c r="AS128" s="4">
        <f>IF(ISBLANK(AL128),0,VLOOKUP(AL128,SpellbooksOwned!$A$1:$B$49,2,FALSE))</f>
        <v>0</v>
      </c>
      <c r="AT128" s="4">
        <f>IF(ISBLANK(AM128),0,VLOOKUP(AM128,SpellbooksOwned!$A$1:$B$49,2,FALSE))</f>
        <v>0</v>
      </c>
      <c r="AU128" s="4">
        <f>IF(ISBLANK(AN128),0,VLOOKUP(AN128,SpellbooksOwned!$A$1:$B$49,2,FALSE))</f>
        <v>0</v>
      </c>
      <c r="AV128" s="4">
        <f t="shared" si="57"/>
        <v>1</v>
      </c>
      <c r="AW128" s="26">
        <f t="shared" si="58"/>
        <v>28</v>
      </c>
      <c r="AX128" s="29">
        <f t="shared" si="63"/>
        <v>0.08850805170850018</v>
      </c>
      <c r="AY128" s="4" t="str">
        <f t="shared" si="59"/>
        <v>Very Good</v>
      </c>
      <c r="AZ128" s="4"/>
    </row>
    <row r="129" spans="1:52" ht="12.75">
      <c r="A129" s="4" t="s">
        <v>490</v>
      </c>
      <c r="B129" s="4">
        <v>7</v>
      </c>
      <c r="C129" s="4" t="s">
        <v>367</v>
      </c>
      <c r="D129" s="4" t="s">
        <v>371</v>
      </c>
      <c r="F129" s="4">
        <f t="shared" si="64"/>
        <v>1</v>
      </c>
      <c r="G129" s="4">
        <f t="shared" si="65"/>
        <v>1</v>
      </c>
      <c r="H129" s="4">
        <f t="shared" si="66"/>
      </c>
      <c r="I129" s="4">
        <f>INT(Spellcasting/2)+INT(2*AVERAGE(F129:H129))+3*RingOfWizardry+4*StaffOfWizardry+2*RobeOfTheArchmagi</f>
        <v>11</v>
      </c>
      <c r="J129" s="4">
        <f t="shared" si="67"/>
        <v>0</v>
      </c>
      <c r="K129" s="4">
        <f t="shared" si="68"/>
        <v>0</v>
      </c>
      <c r="L129" s="4">
        <f t="shared" si="48"/>
      </c>
      <c r="M129" s="4" t="str">
        <f t="shared" si="49"/>
        <v>Fire</v>
      </c>
      <c r="N129" s="4">
        <f t="shared" si="50"/>
        <v>0</v>
      </c>
      <c r="O129" s="4">
        <f t="shared" si="51"/>
        <v>0</v>
      </c>
      <c r="P129" s="4">
        <f t="shared" si="69"/>
      </c>
      <c r="Q129" s="4">
        <f t="shared" si="52"/>
        <v>0</v>
      </c>
      <c r="R129" s="4">
        <f t="shared" si="45"/>
      </c>
      <c r="S129" s="4">
        <f t="shared" si="53"/>
        <v>0</v>
      </c>
      <c r="T129" s="4">
        <f t="shared" si="54"/>
        <v>1</v>
      </c>
      <c r="U129" s="5">
        <f t="shared" si="70"/>
        <v>15</v>
      </c>
      <c r="V129" s="5">
        <f t="shared" si="55"/>
        <v>15</v>
      </c>
      <c r="X129" s="5">
        <f>MIN(V129:W129)</f>
        <v>15</v>
      </c>
      <c r="Z129" s="5" t="s">
        <v>908</v>
      </c>
      <c r="AB129" s="5">
        <f>VLOOKUP(AG129,Enchantments!$E$8:$G$36,3,FALSE)</f>
        <v>190</v>
      </c>
      <c r="AD129" s="6" t="s">
        <v>153</v>
      </c>
      <c r="AE129" s="4" t="s">
        <v>757</v>
      </c>
      <c r="AG129" t="s">
        <v>516</v>
      </c>
      <c r="AH129" s="4" t="b">
        <f t="shared" si="56"/>
        <v>1</v>
      </c>
      <c r="AI129" s="4" t="s">
        <v>367</v>
      </c>
      <c r="AJ129" s="4" t="s">
        <v>650</v>
      </c>
      <c r="AO129" s="4">
        <f>COUNTIF(SpellbooksOwned!$D$2:$K$49,$A129)</f>
        <v>2</v>
      </c>
      <c r="AP129" s="4">
        <f>IF(ISBLANK(AI129),0,VLOOKUP(AI129,SpellbooksOwned!$A$1:$B$49,2,FALSE))</f>
        <v>1</v>
      </c>
      <c r="AQ129" s="4">
        <f>IF(ISBLANK(AJ129),0,VLOOKUP(AJ129,SpellbooksOwned!$A$1:$B$49,2,FALSE))</f>
        <v>1</v>
      </c>
      <c r="AR129" s="4">
        <f>IF(ISBLANK(AK129),0,VLOOKUP(AK129,SpellbooksOwned!$A$1:$B$49,2,FALSE))</f>
        <v>0</v>
      </c>
      <c r="AS129" s="4">
        <f>IF(ISBLANK(AL129),0,VLOOKUP(AL129,SpellbooksOwned!$A$1:$B$49,2,FALSE))</f>
        <v>0</v>
      </c>
      <c r="AT129" s="4">
        <f>IF(ISBLANK(AM129),0,VLOOKUP(AM129,SpellbooksOwned!$A$1:$B$49,2,FALSE))</f>
        <v>0</v>
      </c>
      <c r="AU129" s="4">
        <f>IF(ISBLANK(AN129),0,VLOOKUP(AN129,SpellbooksOwned!$A$1:$B$49,2,FALSE))</f>
        <v>0</v>
      </c>
      <c r="AV129" s="4">
        <f t="shared" si="57"/>
        <v>166</v>
      </c>
      <c r="AW129" s="26">
        <f t="shared" si="58"/>
        <v>100</v>
      </c>
      <c r="AX129" s="29">
        <f aca="true" t="shared" si="71" ref="AX129:AX160">NORMDIST(AW129,50.5,100/6,TRUE)</f>
        <v>0.9985109323648599</v>
      </c>
      <c r="AY129" s="4" t="str">
        <f t="shared" si="59"/>
        <v>Useless</v>
      </c>
      <c r="AZ129" s="4"/>
    </row>
    <row r="130" spans="1:52" ht="12.75">
      <c r="A130" s="4" t="s">
        <v>491</v>
      </c>
      <c r="B130" s="4">
        <v>3</v>
      </c>
      <c r="C130" s="4" t="s">
        <v>359</v>
      </c>
      <c r="F130" s="4">
        <f aca="true" t="shared" si="72" ref="F130:F165">IF(ISBLANK(C130),"",VLOOKUP(C130,TblSkillLevels,2,FALSE))</f>
        <v>1</v>
      </c>
      <c r="G130" s="4">
        <f aca="true" t="shared" si="73" ref="G130:G165">IF(ISBLANK(D130),"",VLOOKUP(D130,TblSkillLevels,2,FALSE))</f>
      </c>
      <c r="H130" s="4">
        <f aca="true" t="shared" si="74" ref="H130:H165">IF(ISBLANK(E130),"",VLOOKUP(E130,TblSkillLevels,2,FALSE))</f>
      </c>
      <c r="I130" s="4">
        <f aca="true" t="shared" si="75" ref="I130:I176">INT(Spellcasting/2)+INT(2*AVERAGE(F130:H130))+3*RingOfWizardry+4*StaffOfWizardry+2*RobeOfTheArchmagi</f>
        <v>11</v>
      </c>
      <c r="J130" s="4">
        <f aca="true" t="shared" si="76" ref="J130:J165">IF(ISBLANK(C130),"",VLOOKUP(C130,TblSkillItems,2,FALSE))</f>
        <v>0</v>
      </c>
      <c r="K130" s="4">
        <f aca="true" t="shared" si="77" ref="K130:K165">IF(ISBLANK(D130),"",VLOOKUP(D130,TblSkillItems,2,FALSE))</f>
      </c>
      <c r="L130" s="4">
        <f t="shared" si="48"/>
      </c>
      <c r="M130" s="4">
        <f t="shared" si="49"/>
        <v>0</v>
      </c>
      <c r="N130" s="4">
        <f t="shared" si="50"/>
      </c>
      <c r="O130" s="4">
        <f t="shared" si="51"/>
        <v>0</v>
      </c>
      <c r="P130" s="4">
        <f aca="true" t="shared" si="78" ref="P130:P161">IF(O130=0,"",VLOOKUP(O130,TblSkillItems,2,FALSE))</f>
      </c>
      <c r="Q130" s="4">
        <f t="shared" si="52"/>
        <v>0</v>
      </c>
      <c r="R130" s="4">
        <f aca="true" t="shared" si="79" ref="R130:R192">IF(Q130=0,"",VLOOKUP(Q130,TblSkillItems,2,FALSE))</f>
      </c>
      <c r="S130" s="4">
        <f t="shared" si="53"/>
        <v>0</v>
      </c>
      <c r="T130" s="4">
        <f t="shared" si="54"/>
        <v>1</v>
      </c>
      <c r="U130" s="5">
        <f t="shared" si="70"/>
        <v>15</v>
      </c>
      <c r="V130" s="5">
        <f aca="true" t="shared" si="80" ref="V130:V165">MIN(200,IF(U130&lt;=50,U130,IF(U130&lt;=150,INT(U130/2)+25,IF(U130&lt;=350,INT((U130-50)/4)+75,INT((INT((U130-50)/4)-75)/2)+150))))</f>
        <v>15</v>
      </c>
      <c r="X130" s="5">
        <f aca="true" t="shared" si="81" ref="X130:X176">MIN(V130:W130)</f>
        <v>15</v>
      </c>
      <c r="Z130" s="5" t="s">
        <v>59</v>
      </c>
      <c r="AB130" s="5">
        <f>VLOOKUP(AG130,Enchantments!$E$8:$G$36,3,FALSE)</f>
        <v>12.5</v>
      </c>
      <c r="AC130" s="5">
        <f>INT(X130*1.5)</f>
        <v>22</v>
      </c>
      <c r="AD130" s="6" t="s">
        <v>901</v>
      </c>
      <c r="AE130" s="4" t="s">
        <v>708</v>
      </c>
      <c r="AF130" s="4" t="s">
        <v>984</v>
      </c>
      <c r="AG130" s="4" t="s">
        <v>204</v>
      </c>
      <c r="AH130" s="4" t="b">
        <f aca="true" t="shared" si="82" ref="AH130:AH165">IF(AND((CharLevel&gt;=$B130),OR($AP130:$AU130)),TRUE,FALSE)</f>
        <v>1</v>
      </c>
      <c r="AI130" s="4" t="s">
        <v>1028</v>
      </c>
      <c r="AJ130" s="4" t="s">
        <v>1015</v>
      </c>
      <c r="AO130" s="4">
        <f>COUNTIF(SpellbooksOwned!$D$2:$K$49,$A130)</f>
        <v>5</v>
      </c>
      <c r="AP130" s="4">
        <f>IF(ISBLANK(AI130),0,VLOOKUP(AI130,SpellbooksOwned!$A$1:$B$49,2,FALSE))</f>
        <v>1</v>
      </c>
      <c r="AQ130" s="4">
        <f>IF(ISBLANK(AJ130),0,VLOOKUP(AJ130,SpellbooksOwned!$A$1:$B$49,2,FALSE))</f>
        <v>0</v>
      </c>
      <c r="AR130" s="4">
        <f>IF(ISBLANK(AK130),0,VLOOKUP(AK130,SpellbooksOwned!$A$1:$B$49,2,FALSE))</f>
        <v>0</v>
      </c>
      <c r="AS130" s="4">
        <f>IF(ISBLANK(AL130),0,VLOOKUP(AL130,SpellbooksOwned!$A$1:$B$49,2,FALSE))</f>
        <v>0</v>
      </c>
      <c r="AT130" s="4">
        <f>IF(ISBLANK(AM130),0,VLOOKUP(AM130,SpellbooksOwned!$A$1:$B$49,2,FALSE))</f>
        <v>0</v>
      </c>
      <c r="AU130" s="4">
        <f>IF(ISBLANK(AN130),0,VLOOKUP(AN130,SpellbooksOwned!$A$1:$B$49,2,FALSE))</f>
        <v>0</v>
      </c>
      <c r="AV130" s="4">
        <f aca="true" t="shared" si="83" ref="AV130:AV191">60-6*INT(I130*T130)-2*Intelligence+VLOOKUP(B130,TblSpellDifficulty,2)</f>
        <v>1</v>
      </c>
      <c r="AW130" s="26">
        <f aca="true" t="shared" si="84" ref="AW130:AW191">VLOOKUP(MAX(-181,MIN(100,AV130)),TblSpellFailRemap,2,FALSE)</f>
        <v>28</v>
      </c>
      <c r="AX130" s="29">
        <f t="shared" si="71"/>
        <v>0.08850805170850018</v>
      </c>
      <c r="AY130" s="4" t="str">
        <f aca="true" t="shared" si="85" ref="AY130:AY165">LOOKUP(AW130,TblFailureCategories)</f>
        <v>Very Good</v>
      </c>
      <c r="AZ130" s="4"/>
    </row>
    <row r="131" spans="1:52" ht="12.75">
      <c r="A131" s="4" t="s">
        <v>913</v>
      </c>
      <c r="B131" s="4">
        <v>4</v>
      </c>
      <c r="C131" s="4" t="s">
        <v>589</v>
      </c>
      <c r="F131" s="4">
        <f t="shared" si="72"/>
        <v>6</v>
      </c>
      <c r="G131" s="4">
        <f t="shared" si="73"/>
      </c>
      <c r="H131" s="4">
        <f t="shared" si="74"/>
      </c>
      <c r="I131" s="4">
        <f t="shared" si="75"/>
        <v>21</v>
      </c>
      <c r="J131" s="4">
        <f t="shared" si="76"/>
        <v>0</v>
      </c>
      <c r="K131" s="4">
        <f t="shared" si="77"/>
      </c>
      <c r="L131" s="4">
        <f aca="true" t="shared" si="86" ref="L131:L192">IF(ISBLANK(E131),"",VLOOKUP(E131,TblSkillItems,2,FALSE))</f>
      </c>
      <c r="M131" s="4">
        <f aca="true" t="shared" si="87" ref="M131:M192">IF(ISBLANK($C131),0,VLOOKUP($C131,TblOppSchools,3,FALSE))</f>
        <v>0</v>
      </c>
      <c r="N131" s="4">
        <f aca="true" t="shared" si="88" ref="N131:N192">IF(M131=0,"",VLOOKUP(M131,TblSkillItems,2,FALSE))</f>
      </c>
      <c r="O131" s="4">
        <f aca="true" t="shared" si="89" ref="O131:O192">IF(ISBLANK($D131),0,VLOOKUP($D131,TblOppSchools,3,FALSE))</f>
        <v>0</v>
      </c>
      <c r="P131" s="4">
        <f t="shared" si="78"/>
      </c>
      <c r="Q131" s="4">
        <f aca="true" t="shared" si="90" ref="Q131:Q192">IF(ISBLANK($E131),0,VLOOKUP($E131,TblOppSchools,3,FALSE))</f>
        <v>0</v>
      </c>
      <c r="R131" s="4">
        <f t="shared" si="79"/>
      </c>
      <c r="S131" s="4">
        <f aca="true" t="shared" si="91" ref="S131:S192">SUM(J131:L131)-SUM(N131,P131,R131)</f>
        <v>0</v>
      </c>
      <c r="T131" s="4">
        <f aca="true" t="shared" si="92" ref="T131:T192">IF(S131&gt;0,1.5^S131,1/2^(-S131))</f>
        <v>1</v>
      </c>
      <c r="U131" s="5">
        <f aca="true" t="shared" si="93" ref="U131:U144">INT(INT(I131*T131)*Intelligence/10)</f>
        <v>29</v>
      </c>
      <c r="V131" s="5">
        <f t="shared" si="80"/>
        <v>29</v>
      </c>
      <c r="X131" s="5">
        <f t="shared" si="81"/>
        <v>29</v>
      </c>
      <c r="Y131" s="6">
        <f>4+INT((X131+1)/2/3)</f>
        <v>9</v>
      </c>
      <c r="Z131" s="5" t="s">
        <v>59</v>
      </c>
      <c r="AA131" s="5" t="s">
        <v>149</v>
      </c>
      <c r="AB131" s="5">
        <v>1</v>
      </c>
      <c r="AE131" s="4" t="s">
        <v>912</v>
      </c>
      <c r="AH131" s="4" t="e">
        <f t="shared" si="82"/>
        <v>#N/A</v>
      </c>
      <c r="AI131" s="4" t="s">
        <v>1032</v>
      </c>
      <c r="AO131" s="4">
        <f>COUNTIF(SpellbooksOwned!$D$2:$K$49,$A131)</f>
        <v>0</v>
      </c>
      <c r="AP131" s="4" t="e">
        <f>IF(ISBLANK(AI131),0,VLOOKUP(AI131,SpellbooksOwned!$A$1:$B$49,2,FALSE))</f>
        <v>#N/A</v>
      </c>
      <c r="AQ131" s="4">
        <f>IF(ISBLANK(AJ131),0,VLOOKUP(AJ131,SpellbooksOwned!$A$1:$B$49,2,FALSE))</f>
        <v>0</v>
      </c>
      <c r="AR131" s="4">
        <f>IF(ISBLANK(AK131),0,VLOOKUP(AK131,SpellbooksOwned!$A$1:$B$49,2,FALSE))</f>
        <v>0</v>
      </c>
      <c r="AS131" s="4">
        <f>IF(ISBLANK(AL131),0,VLOOKUP(AL131,SpellbooksOwned!$A$1:$B$49,2,FALSE))</f>
        <v>0</v>
      </c>
      <c r="AT131" s="4">
        <f>IF(ISBLANK(AM131),0,VLOOKUP(AM131,SpellbooksOwned!$A$1:$B$49,2,FALSE))</f>
        <v>0</v>
      </c>
      <c r="AU131" s="4">
        <f>IF(ISBLANK(AN131),0,VLOOKUP(AN131,SpellbooksOwned!$A$1:$B$49,2,FALSE))</f>
        <v>0</v>
      </c>
      <c r="AV131" s="4">
        <f t="shared" si="83"/>
        <v>-24</v>
      </c>
      <c r="AW131" s="26">
        <f t="shared" si="84"/>
        <v>22</v>
      </c>
      <c r="AX131" s="29">
        <f t="shared" si="71"/>
        <v>0.043632902942498775</v>
      </c>
      <c r="AY131" s="4" t="str">
        <f t="shared" si="85"/>
        <v>Very Good</v>
      </c>
      <c r="AZ131" s="4"/>
    </row>
    <row r="132" spans="1:52" ht="12.75">
      <c r="A132" s="4" t="s">
        <v>492</v>
      </c>
      <c r="B132" s="4">
        <v>3</v>
      </c>
      <c r="C132" s="4" t="s">
        <v>420</v>
      </c>
      <c r="D132" s="4" t="s">
        <v>383</v>
      </c>
      <c r="F132" s="4">
        <f t="shared" si="72"/>
        <v>1</v>
      </c>
      <c r="G132" s="4">
        <f t="shared" si="73"/>
        <v>1</v>
      </c>
      <c r="H132" s="4">
        <f t="shared" si="74"/>
      </c>
      <c r="I132" s="4">
        <f t="shared" si="75"/>
        <v>11</v>
      </c>
      <c r="J132" s="4">
        <f t="shared" si="76"/>
        <v>0</v>
      </c>
      <c r="K132" s="4">
        <f t="shared" si="77"/>
        <v>0</v>
      </c>
      <c r="L132" s="4">
        <f t="shared" si="86"/>
      </c>
      <c r="M132" s="4">
        <f t="shared" si="87"/>
        <v>0</v>
      </c>
      <c r="N132" s="4">
        <f t="shared" si="88"/>
      </c>
      <c r="O132" s="4">
        <f t="shared" si="89"/>
        <v>0</v>
      </c>
      <c r="P132" s="4">
        <f t="shared" si="78"/>
      </c>
      <c r="Q132" s="4">
        <f t="shared" si="90"/>
        <v>0</v>
      </c>
      <c r="R132" s="4">
        <f t="shared" si="79"/>
      </c>
      <c r="S132" s="4">
        <f t="shared" si="91"/>
        <v>0</v>
      </c>
      <c r="T132" s="4">
        <f t="shared" si="92"/>
        <v>1</v>
      </c>
      <c r="U132" s="5">
        <f t="shared" si="93"/>
        <v>15</v>
      </c>
      <c r="V132" s="5">
        <f t="shared" si="80"/>
        <v>15</v>
      </c>
      <c r="X132" s="5">
        <f t="shared" si="81"/>
        <v>15</v>
      </c>
      <c r="Z132" s="5" t="s">
        <v>64</v>
      </c>
      <c r="AB132" s="5">
        <f>MIN(60,10+2*(X132+1)/2)-1</f>
        <v>25</v>
      </c>
      <c r="AD132" s="6" t="s">
        <v>606</v>
      </c>
      <c r="AE132" s="4" t="s">
        <v>788</v>
      </c>
      <c r="AH132" s="4" t="b">
        <f t="shared" si="82"/>
        <v>1</v>
      </c>
      <c r="AI132" s="4" t="s">
        <v>611</v>
      </c>
      <c r="AJ132" s="4" t="s">
        <v>644</v>
      </c>
      <c r="AO132" s="4">
        <f>COUNTIF(SpellbooksOwned!$D$2:$K$49,$A132)</f>
        <v>2</v>
      </c>
      <c r="AP132" s="4">
        <f>IF(ISBLANK(AI132),0,VLOOKUP(AI132,SpellbooksOwned!$A$1:$B$49,2,FALSE))</f>
        <v>1</v>
      </c>
      <c r="AQ132" s="4">
        <f>IF(ISBLANK(AJ132),0,VLOOKUP(AJ132,SpellbooksOwned!$A$1:$B$49,2,FALSE))</f>
        <v>0</v>
      </c>
      <c r="AR132" s="4">
        <f>IF(ISBLANK(AK132),0,VLOOKUP(AK132,SpellbooksOwned!$A$1:$B$49,2,FALSE))</f>
        <v>0</v>
      </c>
      <c r="AS132" s="4">
        <f>IF(ISBLANK(AL132),0,VLOOKUP(AL132,SpellbooksOwned!$A$1:$B$49,2,FALSE))</f>
        <v>0</v>
      </c>
      <c r="AT132" s="4">
        <f>IF(ISBLANK(AM132),0,VLOOKUP(AM132,SpellbooksOwned!$A$1:$B$49,2,FALSE))</f>
        <v>0</v>
      </c>
      <c r="AU132" s="4">
        <f>IF(ISBLANK(AN132),0,VLOOKUP(AN132,SpellbooksOwned!$A$1:$B$49,2,FALSE))</f>
        <v>0</v>
      </c>
      <c r="AV132" s="4">
        <f t="shared" si="83"/>
        <v>1</v>
      </c>
      <c r="AW132" s="26">
        <f t="shared" si="84"/>
        <v>28</v>
      </c>
      <c r="AX132" s="29">
        <f t="shared" si="71"/>
        <v>0.08850805170850018</v>
      </c>
      <c r="AY132" s="4" t="str">
        <f t="shared" si="85"/>
        <v>Very Good</v>
      </c>
      <c r="AZ132" s="4"/>
    </row>
    <row r="133" spans="1:52" ht="12.75">
      <c r="A133" s="4" t="s">
        <v>493</v>
      </c>
      <c r="B133" s="4">
        <v>3</v>
      </c>
      <c r="C133" s="4" t="s">
        <v>374</v>
      </c>
      <c r="D133" s="4" t="s">
        <v>361</v>
      </c>
      <c r="F133" s="4">
        <f t="shared" si="72"/>
        <v>1</v>
      </c>
      <c r="G133" s="4">
        <f t="shared" si="73"/>
        <v>1</v>
      </c>
      <c r="H133" s="4">
        <f t="shared" si="74"/>
      </c>
      <c r="I133" s="4">
        <f t="shared" si="75"/>
        <v>11</v>
      </c>
      <c r="J133" s="4">
        <f t="shared" si="76"/>
        <v>0</v>
      </c>
      <c r="K133" s="4">
        <f t="shared" si="77"/>
        <v>0</v>
      </c>
      <c r="L133" s="4">
        <f t="shared" si="86"/>
      </c>
      <c r="M133" s="4" t="str">
        <f t="shared" si="87"/>
        <v>Earth</v>
      </c>
      <c r="N133" s="4">
        <f t="shared" si="88"/>
        <v>0</v>
      </c>
      <c r="O133" s="4">
        <f t="shared" si="89"/>
        <v>0</v>
      </c>
      <c r="P133" s="4">
        <f t="shared" si="78"/>
      </c>
      <c r="Q133" s="4">
        <f t="shared" si="90"/>
        <v>0</v>
      </c>
      <c r="R133" s="4">
        <f t="shared" si="79"/>
      </c>
      <c r="S133" s="4">
        <f t="shared" si="91"/>
        <v>0</v>
      </c>
      <c r="T133" s="4">
        <f t="shared" si="92"/>
        <v>1</v>
      </c>
      <c r="U133" s="5">
        <f t="shared" si="93"/>
        <v>15</v>
      </c>
      <c r="V133" s="5">
        <f t="shared" si="80"/>
        <v>15</v>
      </c>
      <c r="X133" s="5">
        <f t="shared" si="81"/>
        <v>15</v>
      </c>
      <c r="Y133" s="6">
        <f>3+(5+INT(X133/10)+1)/2</f>
        <v>6.5</v>
      </c>
      <c r="Z133" s="5">
        <v>1</v>
      </c>
      <c r="AB133" s="5">
        <v>1</v>
      </c>
      <c r="AC133" s="5">
        <f>1+(1+INT(X133/25)+1)/2</f>
        <v>2</v>
      </c>
      <c r="AD133" s="6" t="s">
        <v>328</v>
      </c>
      <c r="AE133" s="4" t="s">
        <v>719</v>
      </c>
      <c r="AH133" s="4" t="b">
        <f t="shared" si="82"/>
        <v>1</v>
      </c>
      <c r="AI133" s="4" t="s">
        <v>1013</v>
      </c>
      <c r="AJ133" s="4" t="s">
        <v>1014</v>
      </c>
      <c r="AK133" s="4" t="s">
        <v>374</v>
      </c>
      <c r="AO133" s="4">
        <f>COUNTIF(SpellbooksOwned!$D$2:$K$49,$A133)</f>
        <v>3</v>
      </c>
      <c r="AP133" s="4">
        <f>IF(ISBLANK(AI133),0,VLOOKUP(AI133,SpellbooksOwned!$A$1:$B$49,2,FALSE))</f>
        <v>1</v>
      </c>
      <c r="AQ133" s="4">
        <f>IF(ISBLANK(AJ133),0,VLOOKUP(AJ133,SpellbooksOwned!$A$1:$B$49,2,FALSE))</f>
        <v>1</v>
      </c>
      <c r="AR133" s="4">
        <f>IF(ISBLANK(AK133),0,VLOOKUP(AK133,SpellbooksOwned!$A$1:$B$49,2,FALSE))</f>
        <v>0</v>
      </c>
      <c r="AS133" s="4">
        <f>IF(ISBLANK(AL133),0,VLOOKUP(AL133,SpellbooksOwned!$A$1:$B$49,2,FALSE))</f>
        <v>0</v>
      </c>
      <c r="AT133" s="4">
        <f>IF(ISBLANK(AM133),0,VLOOKUP(AM133,SpellbooksOwned!$A$1:$B$49,2,FALSE))</f>
        <v>0</v>
      </c>
      <c r="AU133" s="4">
        <f>IF(ISBLANK(AN133),0,VLOOKUP(AN133,SpellbooksOwned!$A$1:$B$49,2,FALSE))</f>
        <v>0</v>
      </c>
      <c r="AV133" s="4">
        <f t="shared" si="83"/>
        <v>1</v>
      </c>
      <c r="AW133" s="26">
        <f t="shared" si="84"/>
        <v>28</v>
      </c>
      <c r="AX133" s="29">
        <f t="shared" si="71"/>
        <v>0.08850805170850018</v>
      </c>
      <c r="AY133" s="4" t="str">
        <f t="shared" si="85"/>
        <v>Very Good</v>
      </c>
      <c r="AZ133" s="4"/>
    </row>
    <row r="134" spans="1:52" ht="12.75">
      <c r="A134" s="4" t="s">
        <v>550</v>
      </c>
      <c r="B134" s="4">
        <v>6</v>
      </c>
      <c r="C134" s="4" t="s">
        <v>373</v>
      </c>
      <c r="D134" s="4" t="s">
        <v>383</v>
      </c>
      <c r="F134" s="4">
        <f t="shared" si="72"/>
        <v>1</v>
      </c>
      <c r="G134" s="4">
        <f t="shared" si="73"/>
        <v>1</v>
      </c>
      <c r="H134" s="4">
        <f t="shared" si="74"/>
      </c>
      <c r="I134" s="4">
        <f t="shared" si="75"/>
        <v>11</v>
      </c>
      <c r="J134" s="4">
        <f t="shared" si="76"/>
        <v>0</v>
      </c>
      <c r="K134" s="4">
        <f t="shared" si="77"/>
        <v>0</v>
      </c>
      <c r="L134" s="4">
        <f t="shared" si="86"/>
      </c>
      <c r="M134" s="4" t="str">
        <f t="shared" si="87"/>
        <v>Air</v>
      </c>
      <c r="N134" s="4">
        <f t="shared" si="88"/>
        <v>0</v>
      </c>
      <c r="O134" s="4">
        <f t="shared" si="89"/>
        <v>0</v>
      </c>
      <c r="P134" s="4">
        <f t="shared" si="78"/>
      </c>
      <c r="Q134" s="4">
        <f t="shared" si="90"/>
        <v>0</v>
      </c>
      <c r="R134" s="4">
        <f t="shared" si="79"/>
      </c>
      <c r="S134" s="4">
        <f t="shared" si="91"/>
        <v>0</v>
      </c>
      <c r="T134" s="4">
        <f t="shared" si="92"/>
        <v>1</v>
      </c>
      <c r="U134" s="5">
        <f t="shared" si="93"/>
        <v>15</v>
      </c>
      <c r="V134" s="5">
        <f t="shared" si="80"/>
        <v>15</v>
      </c>
      <c r="X134" s="5">
        <f t="shared" si="81"/>
        <v>15</v>
      </c>
      <c r="Z134" s="5" t="s">
        <v>64</v>
      </c>
      <c r="AB134" s="5">
        <f>MIN(100,20+2*(X134+1)/2)-1</f>
        <v>35</v>
      </c>
      <c r="AD134" s="6" t="s">
        <v>607</v>
      </c>
      <c r="AE134" s="4" t="s">
        <v>794</v>
      </c>
      <c r="AH134" s="4" t="b">
        <f t="shared" si="82"/>
        <v>1</v>
      </c>
      <c r="AI134" s="4" t="s">
        <v>1016</v>
      </c>
      <c r="AJ134" s="4" t="s">
        <v>37</v>
      </c>
      <c r="AO134" s="4">
        <f>COUNTIF(SpellbooksOwned!$D$2:$K$49,$A134)</f>
        <v>2</v>
      </c>
      <c r="AP134" s="4">
        <f>IF(ISBLANK(AI134),0,VLOOKUP(AI134,SpellbooksOwned!$A$1:$B$49,2,FALSE))</f>
        <v>1</v>
      </c>
      <c r="AQ134" s="4">
        <f>IF(ISBLANK(AJ134),0,VLOOKUP(AJ134,SpellbooksOwned!$A$1:$B$49,2,FALSE))</f>
        <v>1</v>
      </c>
      <c r="AR134" s="4">
        <f>IF(ISBLANK(AK134),0,VLOOKUP(AK134,SpellbooksOwned!$A$1:$B$49,2,FALSE))</f>
        <v>0</v>
      </c>
      <c r="AS134" s="4">
        <f>IF(ISBLANK(AL134),0,VLOOKUP(AL134,SpellbooksOwned!$A$1:$B$49,2,FALSE))</f>
        <v>0</v>
      </c>
      <c r="AT134" s="4">
        <f>IF(ISBLANK(AM134),0,VLOOKUP(AM134,SpellbooksOwned!$A$1:$B$49,2,FALSE))</f>
        <v>0</v>
      </c>
      <c r="AU134" s="4">
        <f>IF(ISBLANK(AN134),0,VLOOKUP(AN134,SpellbooksOwned!$A$1:$B$49,2,FALSE))</f>
        <v>0</v>
      </c>
      <c r="AV134" s="4">
        <f t="shared" si="83"/>
        <v>116</v>
      </c>
      <c r="AW134" s="26">
        <f t="shared" si="84"/>
        <v>100</v>
      </c>
      <c r="AX134" s="29">
        <f t="shared" si="71"/>
        <v>0.9985109323648599</v>
      </c>
      <c r="AY134" s="4" t="str">
        <f t="shared" si="85"/>
        <v>Useless</v>
      </c>
      <c r="AZ134" s="4"/>
    </row>
    <row r="135" spans="1:52" ht="12.75">
      <c r="A135" s="4" t="s">
        <v>551</v>
      </c>
      <c r="B135" s="4">
        <v>2</v>
      </c>
      <c r="C135" s="4" t="s">
        <v>477</v>
      </c>
      <c r="D135" s="4" t="s">
        <v>383</v>
      </c>
      <c r="F135" s="4">
        <f t="shared" si="72"/>
        <v>1</v>
      </c>
      <c r="G135" s="4">
        <f t="shared" si="73"/>
        <v>1</v>
      </c>
      <c r="H135" s="4">
        <f t="shared" si="74"/>
      </c>
      <c r="I135" s="4">
        <f t="shared" si="75"/>
        <v>11</v>
      </c>
      <c r="J135" s="4">
        <f t="shared" si="76"/>
        <v>0</v>
      </c>
      <c r="K135" s="4">
        <f t="shared" si="77"/>
        <v>0</v>
      </c>
      <c r="L135" s="4">
        <f t="shared" si="86"/>
      </c>
      <c r="M135" s="4">
        <f t="shared" si="87"/>
        <v>0</v>
      </c>
      <c r="N135" s="4">
        <f t="shared" si="88"/>
      </c>
      <c r="O135" s="4">
        <f t="shared" si="89"/>
        <v>0</v>
      </c>
      <c r="P135" s="4">
        <f t="shared" si="78"/>
      </c>
      <c r="Q135" s="4">
        <f t="shared" si="90"/>
        <v>0</v>
      </c>
      <c r="R135" s="4">
        <f t="shared" si="79"/>
      </c>
      <c r="S135" s="4">
        <f t="shared" si="91"/>
        <v>0</v>
      </c>
      <c r="T135" s="4">
        <f t="shared" si="92"/>
        <v>1</v>
      </c>
      <c r="U135" s="5">
        <f t="shared" si="93"/>
        <v>15</v>
      </c>
      <c r="V135" s="5">
        <f t="shared" si="80"/>
        <v>15</v>
      </c>
      <c r="X135" s="5">
        <f t="shared" si="81"/>
        <v>15</v>
      </c>
      <c r="Z135" s="5" t="s">
        <v>908</v>
      </c>
      <c r="AB135" s="5">
        <f>VLOOKUP(AG135,Enchantments!$E$8:$G$36,3,FALSE)</f>
        <v>30</v>
      </c>
      <c r="AD135" s="6" t="s">
        <v>535</v>
      </c>
      <c r="AE135" s="4" t="s">
        <v>712</v>
      </c>
      <c r="AG135" s="4" t="str">
        <f>CONCATENATE("ENCH_ABJ_",TEXT(MIN(6,3+INT(($X135+1)/2/20)),"0"))</f>
        <v>ENCH_ABJ_3</v>
      </c>
      <c r="AH135" s="4" t="b">
        <f t="shared" si="82"/>
        <v>1</v>
      </c>
      <c r="AI135" s="4" t="s">
        <v>1010</v>
      </c>
      <c r="AJ135" s="4" t="s">
        <v>611</v>
      </c>
      <c r="AK135" s="4" t="s">
        <v>1019</v>
      </c>
      <c r="AL135" s="4" t="s">
        <v>1048</v>
      </c>
      <c r="AO135" s="4">
        <f>COUNTIF(SpellbooksOwned!$D$2:$K$49,$A135)</f>
        <v>4</v>
      </c>
      <c r="AP135" s="4">
        <f>IF(ISBLANK(AI135),0,VLOOKUP(AI135,SpellbooksOwned!$A$1:$B$49,2,FALSE))</f>
        <v>1</v>
      </c>
      <c r="AQ135" s="4">
        <f>IF(ISBLANK(AJ135),0,VLOOKUP(AJ135,SpellbooksOwned!$A$1:$B$49,2,FALSE))</f>
        <v>1</v>
      </c>
      <c r="AR135" s="4">
        <f>IF(ISBLANK(AK135),0,VLOOKUP(AK135,SpellbooksOwned!$A$1:$B$49,2,FALSE))</f>
        <v>0</v>
      </c>
      <c r="AS135" s="4">
        <f>IF(ISBLANK(AL135),0,VLOOKUP(AL135,SpellbooksOwned!$A$1:$B$49,2,FALSE))</f>
        <v>1</v>
      </c>
      <c r="AT135" s="4">
        <f>IF(ISBLANK(AM135),0,VLOOKUP(AM135,SpellbooksOwned!$A$1:$B$49,2,FALSE))</f>
        <v>0</v>
      </c>
      <c r="AU135" s="4">
        <f>IF(ISBLANK(AN135),0,VLOOKUP(AN135,SpellbooksOwned!$A$1:$B$49,2,FALSE))</f>
        <v>0</v>
      </c>
      <c r="AV135" s="4">
        <f t="shared" si="83"/>
        <v>-19</v>
      </c>
      <c r="AW135" s="26">
        <f t="shared" si="84"/>
        <v>22</v>
      </c>
      <c r="AX135" s="29">
        <f t="shared" si="71"/>
        <v>0.043632902942498775</v>
      </c>
      <c r="AY135" s="4" t="str">
        <f t="shared" si="85"/>
        <v>Very Good</v>
      </c>
      <c r="AZ135" s="4"/>
    </row>
    <row r="136" spans="1:52" ht="12.75">
      <c r="A136" s="4" t="s">
        <v>552</v>
      </c>
      <c r="B136" s="4">
        <v>4</v>
      </c>
      <c r="C136" s="4" t="s">
        <v>361</v>
      </c>
      <c r="D136" s="4" t="s">
        <v>364</v>
      </c>
      <c r="F136" s="4">
        <f t="shared" si="72"/>
        <v>1</v>
      </c>
      <c r="G136" s="4">
        <f t="shared" si="73"/>
        <v>1</v>
      </c>
      <c r="H136" s="4">
        <f t="shared" si="74"/>
      </c>
      <c r="I136" s="4">
        <f t="shared" si="75"/>
        <v>11</v>
      </c>
      <c r="J136" s="4">
        <f t="shared" si="76"/>
        <v>0</v>
      </c>
      <c r="K136" s="4">
        <f t="shared" si="77"/>
        <v>0</v>
      </c>
      <c r="L136" s="4">
        <f t="shared" si="86"/>
      </c>
      <c r="M136" s="4">
        <f t="shared" si="87"/>
        <v>0</v>
      </c>
      <c r="N136" s="4">
        <f t="shared" si="88"/>
      </c>
      <c r="O136" s="4" t="str">
        <f t="shared" si="89"/>
        <v>Ice</v>
      </c>
      <c r="P136" s="4">
        <f t="shared" si="78"/>
        <v>0</v>
      </c>
      <c r="Q136" s="4">
        <f t="shared" si="90"/>
        <v>0</v>
      </c>
      <c r="R136" s="4">
        <f t="shared" si="79"/>
      </c>
      <c r="S136" s="4">
        <f t="shared" si="91"/>
        <v>0</v>
      </c>
      <c r="T136" s="4">
        <f t="shared" si="92"/>
        <v>1</v>
      </c>
      <c r="U136" s="5">
        <f t="shared" si="93"/>
        <v>15</v>
      </c>
      <c r="V136" s="5">
        <f t="shared" si="80"/>
        <v>15</v>
      </c>
      <c r="W136" s="5">
        <v>100</v>
      </c>
      <c r="X136" s="5">
        <f t="shared" si="81"/>
        <v>15</v>
      </c>
      <c r="Y136" s="6">
        <f>2*(3+INT(X136/12)+1)/2</f>
        <v>5</v>
      </c>
      <c r="Z136" s="5" t="s">
        <v>933</v>
      </c>
      <c r="AA136" s="5">
        <f>11+INT(X136/10)</f>
        <v>12</v>
      </c>
      <c r="AB136" s="5">
        <f>VLOOKUP(AG136,Enchantments!$E$8:$G$36,3,FALSE)</f>
        <v>10</v>
      </c>
      <c r="AD136" s="6" t="s">
        <v>748</v>
      </c>
      <c r="AE136" s="4" t="s">
        <v>723</v>
      </c>
      <c r="AF136" s="4" t="s">
        <v>961</v>
      </c>
      <c r="AG136" s="4" t="str">
        <f>CONCATENATE("ENCH_STICKY_FLAME_",TEXT(MIN(4,1+INT((Y136+1)/2/2)),"0"))</f>
        <v>ENCH_STICKY_FLAME_2</v>
      </c>
      <c r="AH136" s="4" t="b">
        <f t="shared" si="82"/>
        <v>0</v>
      </c>
      <c r="AI136" s="4" t="s">
        <v>583</v>
      </c>
      <c r="AO136" s="4">
        <f>COUNTIF(SpellbooksOwned!$D$2:$K$49,$A136)</f>
        <v>1</v>
      </c>
      <c r="AP136" s="4">
        <f>IF(ISBLANK(AI136),0,VLOOKUP(AI136,SpellbooksOwned!$A$1:$B$49,2,FALSE))</f>
        <v>0</v>
      </c>
      <c r="AQ136" s="4">
        <f>IF(ISBLANK(AJ136),0,VLOOKUP(AJ136,SpellbooksOwned!$A$1:$B$49,2,FALSE))</f>
        <v>0</v>
      </c>
      <c r="AR136" s="4">
        <f>IF(ISBLANK(AK136),0,VLOOKUP(AK136,SpellbooksOwned!$A$1:$B$49,2,FALSE))</f>
        <v>0</v>
      </c>
      <c r="AS136" s="4">
        <f>IF(ISBLANK(AL136),0,VLOOKUP(AL136,SpellbooksOwned!$A$1:$B$49,2,FALSE))</f>
        <v>0</v>
      </c>
      <c r="AT136" s="4">
        <f>IF(ISBLANK(AM136),0,VLOOKUP(AM136,SpellbooksOwned!$A$1:$B$49,2,FALSE))</f>
        <v>0</v>
      </c>
      <c r="AU136" s="4">
        <f>IF(ISBLANK(AN136),0,VLOOKUP(AN136,SpellbooksOwned!$A$1:$B$49,2,FALSE))</f>
        <v>0</v>
      </c>
      <c r="AV136" s="4">
        <f t="shared" si="83"/>
        <v>36</v>
      </c>
      <c r="AW136" s="26">
        <f t="shared" si="84"/>
        <v>41</v>
      </c>
      <c r="AX136" s="29">
        <f t="shared" si="71"/>
        <v>0.28433880816463963</v>
      </c>
      <c r="AY136" s="4" t="str">
        <f t="shared" si="85"/>
        <v>Fair</v>
      </c>
      <c r="AZ136" s="4"/>
    </row>
    <row r="137" spans="1:52" ht="12.75">
      <c r="A137" s="4" t="s">
        <v>553</v>
      </c>
      <c r="B137" s="4">
        <v>1</v>
      </c>
      <c r="C137" s="4" t="s">
        <v>361</v>
      </c>
      <c r="D137" s="4" t="s">
        <v>420</v>
      </c>
      <c r="F137" s="4">
        <f t="shared" si="72"/>
        <v>1</v>
      </c>
      <c r="G137" s="4">
        <f t="shared" si="73"/>
        <v>1</v>
      </c>
      <c r="H137" s="4">
        <f t="shared" si="74"/>
      </c>
      <c r="I137" s="4">
        <f t="shared" si="75"/>
        <v>11</v>
      </c>
      <c r="J137" s="4">
        <f t="shared" si="76"/>
        <v>0</v>
      </c>
      <c r="K137" s="4">
        <f t="shared" si="77"/>
        <v>0</v>
      </c>
      <c r="L137" s="4">
        <f t="shared" si="86"/>
      </c>
      <c r="M137" s="4">
        <f t="shared" si="87"/>
        <v>0</v>
      </c>
      <c r="N137" s="4">
        <f t="shared" si="88"/>
      </c>
      <c r="O137" s="4">
        <f t="shared" si="89"/>
        <v>0</v>
      </c>
      <c r="P137" s="4">
        <f t="shared" si="78"/>
      </c>
      <c r="Q137" s="4">
        <f t="shared" si="90"/>
        <v>0</v>
      </c>
      <c r="R137" s="4">
        <f t="shared" si="79"/>
      </c>
      <c r="S137" s="4">
        <f t="shared" si="91"/>
        <v>0</v>
      </c>
      <c r="T137" s="4">
        <f t="shared" si="92"/>
        <v>1</v>
      </c>
      <c r="U137" s="5">
        <f t="shared" si="93"/>
        <v>15</v>
      </c>
      <c r="V137" s="5">
        <f t="shared" si="80"/>
        <v>15</v>
      </c>
      <c r="W137" s="5">
        <v>25</v>
      </c>
      <c r="X137" s="5">
        <f t="shared" si="81"/>
        <v>15</v>
      </c>
      <c r="Y137" s="6">
        <f>1*(3+INT(X137/5)+1)/2</f>
        <v>3.5</v>
      </c>
      <c r="Z137" s="5" t="s">
        <v>933</v>
      </c>
      <c r="AA137" s="5">
        <f>8+INT(X137/5)</f>
        <v>11</v>
      </c>
      <c r="AB137" s="5">
        <v>1</v>
      </c>
      <c r="AD137" s="6" t="s">
        <v>1001</v>
      </c>
      <c r="AE137" s="4" t="s">
        <v>773</v>
      </c>
      <c r="AF137" s="4" t="s">
        <v>950</v>
      </c>
      <c r="AH137" s="4" t="b">
        <f t="shared" si="82"/>
        <v>1</v>
      </c>
      <c r="AI137" s="4" t="s">
        <v>608</v>
      </c>
      <c r="AJ137" s="4" t="s">
        <v>1102</v>
      </c>
      <c r="AO137" s="4">
        <f>COUNTIF(SpellbooksOwned!$D$2:$K$49,$A137)</f>
        <v>2</v>
      </c>
      <c r="AP137" s="4">
        <f>IF(ISBLANK(AI137),0,VLOOKUP(AI137,SpellbooksOwned!$A$1:$B$49,2,FALSE))</f>
        <v>1</v>
      </c>
      <c r="AQ137" s="4">
        <f>IF(ISBLANK(AJ137),0,VLOOKUP(AJ137,SpellbooksOwned!$A$1:$B$49,2,FALSE))</f>
        <v>1</v>
      </c>
      <c r="AR137" s="4">
        <f>IF(ISBLANK(AK137),0,VLOOKUP(AK137,SpellbooksOwned!$A$1:$B$49,2,FALSE))</f>
        <v>0</v>
      </c>
      <c r="AS137" s="4">
        <f>IF(ISBLANK(AL137),0,VLOOKUP(AL137,SpellbooksOwned!$A$1:$B$49,2,FALSE))</f>
        <v>0</v>
      </c>
      <c r="AT137" s="4">
        <f>IF(ISBLANK(AM137),0,VLOOKUP(AM137,SpellbooksOwned!$A$1:$B$49,2,FALSE))</f>
        <v>0</v>
      </c>
      <c r="AU137" s="4">
        <f>IF(ISBLANK(AN137),0,VLOOKUP(AN137,SpellbooksOwned!$A$1:$B$49,2,FALSE))</f>
        <v>0</v>
      </c>
      <c r="AV137" s="4">
        <f t="shared" si="83"/>
        <v>-31</v>
      </c>
      <c r="AW137" s="26">
        <f t="shared" si="84"/>
        <v>18</v>
      </c>
      <c r="AX137" s="29">
        <f t="shared" si="71"/>
        <v>0.025587989795647026</v>
      </c>
      <c r="AY137" s="4" t="str">
        <f t="shared" si="85"/>
        <v>Great</v>
      </c>
      <c r="AZ137" s="4"/>
    </row>
    <row r="138" spans="1:52" ht="12.75">
      <c r="A138" s="4" t="s">
        <v>554</v>
      </c>
      <c r="B138" s="4">
        <v>3</v>
      </c>
      <c r="C138" s="4" t="s">
        <v>361</v>
      </c>
      <c r="D138" s="4" t="s">
        <v>373</v>
      </c>
      <c r="F138" s="4">
        <f t="shared" si="72"/>
        <v>1</v>
      </c>
      <c r="G138" s="4">
        <f t="shared" si="73"/>
        <v>1</v>
      </c>
      <c r="H138" s="4">
        <f t="shared" si="74"/>
      </c>
      <c r="I138" s="4">
        <f t="shared" si="75"/>
        <v>11</v>
      </c>
      <c r="J138" s="4">
        <f t="shared" si="76"/>
        <v>0</v>
      </c>
      <c r="K138" s="4">
        <f t="shared" si="77"/>
        <v>0</v>
      </c>
      <c r="L138" s="4">
        <f t="shared" si="86"/>
      </c>
      <c r="M138" s="4">
        <f t="shared" si="87"/>
        <v>0</v>
      </c>
      <c r="N138" s="4">
        <f t="shared" si="88"/>
      </c>
      <c r="O138" s="4" t="str">
        <f t="shared" si="89"/>
        <v>Air</v>
      </c>
      <c r="P138" s="4">
        <f t="shared" si="78"/>
        <v>0</v>
      </c>
      <c r="Q138" s="4">
        <f t="shared" si="90"/>
        <v>0</v>
      </c>
      <c r="R138" s="4">
        <f t="shared" si="79"/>
      </c>
      <c r="S138" s="4">
        <f t="shared" si="91"/>
        <v>0</v>
      </c>
      <c r="T138" s="4">
        <f t="shared" si="92"/>
        <v>1</v>
      </c>
      <c r="U138" s="5">
        <f t="shared" si="93"/>
        <v>15</v>
      </c>
      <c r="V138" s="5">
        <f t="shared" si="80"/>
        <v>15</v>
      </c>
      <c r="W138" s="5">
        <v>50</v>
      </c>
      <c r="X138" s="5">
        <f t="shared" si="81"/>
        <v>15</v>
      </c>
      <c r="Y138" s="6">
        <f>2*(4+INT(X138/8)+1)/2</f>
        <v>6</v>
      </c>
      <c r="Z138" s="5" t="s">
        <v>933</v>
      </c>
      <c r="AA138" s="5">
        <f>5+INT(X138/10)</f>
        <v>6</v>
      </c>
      <c r="AB138" s="5">
        <v>1</v>
      </c>
      <c r="AE138" s="4" t="s">
        <v>716</v>
      </c>
      <c r="AF138" s="4" t="s">
        <v>960</v>
      </c>
      <c r="AH138" s="4" t="b">
        <f t="shared" si="82"/>
        <v>1</v>
      </c>
      <c r="AI138" s="4" t="s">
        <v>1012</v>
      </c>
      <c r="AJ138" s="4" t="s">
        <v>659</v>
      </c>
      <c r="AO138" s="4">
        <f>COUNTIF(SpellbooksOwned!$D$2:$K$49,$A138)</f>
        <v>2</v>
      </c>
      <c r="AP138" s="4">
        <f>IF(ISBLANK(AI138),0,VLOOKUP(AI138,SpellbooksOwned!$A$1:$B$49,2,FALSE))</f>
        <v>1</v>
      </c>
      <c r="AQ138" s="4">
        <f>IF(ISBLANK(AJ138),0,VLOOKUP(AJ138,SpellbooksOwned!$A$1:$B$49,2,FALSE))</f>
        <v>1</v>
      </c>
      <c r="AR138" s="4">
        <f>IF(ISBLANK(AK138),0,VLOOKUP(AK138,SpellbooksOwned!$A$1:$B$49,2,FALSE))</f>
        <v>0</v>
      </c>
      <c r="AS138" s="4">
        <f>IF(ISBLANK(AL138),0,VLOOKUP(AL138,SpellbooksOwned!$A$1:$B$49,2,FALSE))</f>
        <v>0</v>
      </c>
      <c r="AT138" s="4">
        <f>IF(ISBLANK(AM138),0,VLOOKUP(AM138,SpellbooksOwned!$A$1:$B$49,2,FALSE))</f>
        <v>0</v>
      </c>
      <c r="AU138" s="4">
        <f>IF(ISBLANK(AN138),0,VLOOKUP(AN138,SpellbooksOwned!$A$1:$B$49,2,FALSE))</f>
        <v>0</v>
      </c>
      <c r="AV138" s="4">
        <f t="shared" si="83"/>
        <v>1</v>
      </c>
      <c r="AW138" s="26">
        <f t="shared" si="84"/>
        <v>28</v>
      </c>
      <c r="AX138" s="29">
        <f t="shared" si="71"/>
        <v>0.08850805170850018</v>
      </c>
      <c r="AY138" s="4" t="str">
        <f t="shared" si="85"/>
        <v>Very Good</v>
      </c>
      <c r="AZ138" s="4"/>
    </row>
    <row r="139" spans="1:52" ht="12.75">
      <c r="A139" s="4" t="s">
        <v>555</v>
      </c>
      <c r="B139" s="4">
        <v>2</v>
      </c>
      <c r="C139" s="4" t="s">
        <v>373</v>
      </c>
      <c r="D139" s="4" t="s">
        <v>383</v>
      </c>
      <c r="F139" s="4">
        <f t="shared" si="72"/>
        <v>1</v>
      </c>
      <c r="G139" s="4">
        <f t="shared" si="73"/>
        <v>1</v>
      </c>
      <c r="H139" s="4">
        <f t="shared" si="74"/>
      </c>
      <c r="I139" s="4">
        <f t="shared" si="75"/>
        <v>11</v>
      </c>
      <c r="J139" s="4">
        <f t="shared" si="76"/>
        <v>0</v>
      </c>
      <c r="K139" s="4">
        <f t="shared" si="77"/>
        <v>0</v>
      </c>
      <c r="L139" s="4">
        <f t="shared" si="86"/>
      </c>
      <c r="M139" s="4" t="str">
        <f t="shared" si="87"/>
        <v>Air</v>
      </c>
      <c r="N139" s="4">
        <f t="shared" si="88"/>
        <v>0</v>
      </c>
      <c r="O139" s="4">
        <f t="shared" si="89"/>
        <v>0</v>
      </c>
      <c r="P139" s="4">
        <f t="shared" si="78"/>
      </c>
      <c r="Q139" s="4">
        <f t="shared" si="90"/>
        <v>0</v>
      </c>
      <c r="R139" s="4">
        <f t="shared" si="79"/>
      </c>
      <c r="S139" s="4">
        <f t="shared" si="91"/>
        <v>0</v>
      </c>
      <c r="T139" s="4">
        <f t="shared" si="92"/>
        <v>1</v>
      </c>
      <c r="U139" s="5">
        <f t="shared" si="93"/>
        <v>15</v>
      </c>
      <c r="V139" s="5">
        <f t="shared" si="80"/>
        <v>15</v>
      </c>
      <c r="X139" s="5">
        <f t="shared" si="81"/>
        <v>15</v>
      </c>
      <c r="Z139" s="5" t="s">
        <v>64</v>
      </c>
      <c r="AB139" s="5">
        <f>MIN(50,10+2*(X138+1)/2)</f>
        <v>26</v>
      </c>
      <c r="AC139" s="5">
        <f>2+INT(CharacterProperties!$B$9/5)</f>
        <v>2</v>
      </c>
      <c r="AD139" s="6" t="s">
        <v>178</v>
      </c>
      <c r="AE139" s="4" t="s">
        <v>858</v>
      </c>
      <c r="AH139" s="4" t="b">
        <f t="shared" si="82"/>
        <v>1</v>
      </c>
      <c r="AI139" s="4" t="s">
        <v>659</v>
      </c>
      <c r="AO139" s="4">
        <f>COUNTIF(SpellbooksOwned!$D$2:$K$49,$A139)</f>
        <v>1</v>
      </c>
      <c r="AP139" s="4">
        <f>IF(ISBLANK(AI139),0,VLOOKUP(AI139,SpellbooksOwned!$A$1:$B$49,2,FALSE))</f>
        <v>1</v>
      </c>
      <c r="AQ139" s="4">
        <f>IF(ISBLANK(AJ139),0,VLOOKUP(AJ139,SpellbooksOwned!$A$1:$B$49,2,FALSE))</f>
        <v>0</v>
      </c>
      <c r="AR139" s="4">
        <f>IF(ISBLANK(AK139),0,VLOOKUP(AK139,SpellbooksOwned!$A$1:$B$49,2,FALSE))</f>
        <v>0</v>
      </c>
      <c r="AS139" s="4">
        <f>IF(ISBLANK(AL139),0,VLOOKUP(AL139,SpellbooksOwned!$A$1:$B$49,2,FALSE))</f>
        <v>0</v>
      </c>
      <c r="AT139" s="4">
        <f>IF(ISBLANK(AM139),0,VLOOKUP(AM139,SpellbooksOwned!$A$1:$B$49,2,FALSE))</f>
        <v>0</v>
      </c>
      <c r="AU139" s="4">
        <f>IF(ISBLANK(AN139),0,VLOOKUP(AN139,SpellbooksOwned!$A$1:$B$49,2,FALSE))</f>
        <v>0</v>
      </c>
      <c r="AV139" s="4">
        <f t="shared" si="83"/>
        <v>-19</v>
      </c>
      <c r="AW139" s="26">
        <f t="shared" si="84"/>
        <v>22</v>
      </c>
      <c r="AX139" s="29">
        <f t="shared" si="71"/>
        <v>0.043632902942498775</v>
      </c>
      <c r="AY139" s="4" t="str">
        <f t="shared" si="85"/>
        <v>Very Good</v>
      </c>
      <c r="AZ139" s="4"/>
    </row>
    <row r="140" spans="1:52" ht="12.75">
      <c r="A140" s="4" t="s">
        <v>556</v>
      </c>
      <c r="B140" s="4">
        <v>2</v>
      </c>
      <c r="C140" s="4" t="s">
        <v>371</v>
      </c>
      <c r="F140" s="4">
        <f t="shared" si="72"/>
        <v>1</v>
      </c>
      <c r="G140" s="4">
        <f t="shared" si="73"/>
      </c>
      <c r="H140" s="4">
        <f t="shared" si="74"/>
      </c>
      <c r="I140" s="4">
        <f t="shared" si="75"/>
        <v>11</v>
      </c>
      <c r="J140" s="4">
        <f t="shared" si="76"/>
        <v>0</v>
      </c>
      <c r="K140" s="4">
        <f t="shared" si="77"/>
      </c>
      <c r="L140" s="4">
        <f t="shared" si="86"/>
      </c>
      <c r="M140" s="4">
        <f t="shared" si="87"/>
        <v>0</v>
      </c>
      <c r="N140" s="4">
        <f t="shared" si="88"/>
      </c>
      <c r="O140" s="4">
        <f t="shared" si="89"/>
        <v>0</v>
      </c>
      <c r="P140" s="4">
        <f t="shared" si="78"/>
      </c>
      <c r="Q140" s="4">
        <f t="shared" si="90"/>
        <v>0</v>
      </c>
      <c r="R140" s="4">
        <f t="shared" si="79"/>
      </c>
      <c r="S140" s="4">
        <f t="shared" si="91"/>
        <v>0</v>
      </c>
      <c r="T140" s="4">
        <f t="shared" si="92"/>
        <v>1</v>
      </c>
      <c r="U140" s="5">
        <f t="shared" si="93"/>
        <v>15</v>
      </c>
      <c r="V140" s="5">
        <f t="shared" si="80"/>
        <v>15</v>
      </c>
      <c r="X140" s="5">
        <f t="shared" si="81"/>
        <v>15</v>
      </c>
      <c r="Z140" s="5" t="s">
        <v>64</v>
      </c>
      <c r="AB140" s="5">
        <v>1</v>
      </c>
      <c r="AD140" s="6" t="s">
        <v>152</v>
      </c>
      <c r="AE140" s="4" t="s">
        <v>848</v>
      </c>
      <c r="AH140" s="4" t="b">
        <f t="shared" si="82"/>
        <v>1</v>
      </c>
      <c r="AI140" s="4" t="s">
        <v>650</v>
      </c>
      <c r="AO140" s="4">
        <f>COUNTIF(SpellbooksOwned!$D$2:$K$49,$A140)</f>
        <v>1</v>
      </c>
      <c r="AP140" s="4">
        <f>IF(ISBLANK(AI140),0,VLOOKUP(AI140,SpellbooksOwned!$A$1:$B$49,2,FALSE))</f>
        <v>1</v>
      </c>
      <c r="AQ140" s="4">
        <f>IF(ISBLANK(AJ140),0,VLOOKUP(AJ140,SpellbooksOwned!$A$1:$B$49,2,FALSE))</f>
        <v>0</v>
      </c>
      <c r="AR140" s="4">
        <f>IF(ISBLANK(AK140),0,VLOOKUP(AK140,SpellbooksOwned!$A$1:$B$49,2,FALSE))</f>
        <v>0</v>
      </c>
      <c r="AS140" s="4">
        <f>IF(ISBLANK(AL140),0,VLOOKUP(AL140,SpellbooksOwned!$A$1:$B$49,2,FALSE))</f>
        <v>0</v>
      </c>
      <c r="AT140" s="4">
        <f>IF(ISBLANK(AM140),0,VLOOKUP(AM140,SpellbooksOwned!$A$1:$B$49,2,FALSE))</f>
        <v>0</v>
      </c>
      <c r="AU140" s="4">
        <f>IF(ISBLANK(AN140),0,VLOOKUP(AN140,SpellbooksOwned!$A$1:$B$49,2,FALSE))</f>
        <v>0</v>
      </c>
      <c r="AV140" s="4">
        <f t="shared" si="83"/>
        <v>-19</v>
      </c>
      <c r="AW140" s="26">
        <f t="shared" si="84"/>
        <v>22</v>
      </c>
      <c r="AX140" s="29">
        <f t="shared" si="71"/>
        <v>0.043632902942498775</v>
      </c>
      <c r="AY140" s="4" t="str">
        <f t="shared" si="85"/>
        <v>Very Good</v>
      </c>
      <c r="AZ140" s="4"/>
    </row>
    <row r="141" spans="1:52" ht="12.75">
      <c r="A141" s="4" t="s">
        <v>557</v>
      </c>
      <c r="B141" s="4">
        <v>1</v>
      </c>
      <c r="C141" s="4" t="s">
        <v>477</v>
      </c>
      <c r="F141" s="4">
        <f t="shared" si="72"/>
        <v>1</v>
      </c>
      <c r="G141" s="4">
        <f t="shared" si="73"/>
      </c>
      <c r="H141" s="4">
        <f t="shared" si="74"/>
      </c>
      <c r="I141" s="4">
        <f t="shared" si="75"/>
        <v>11</v>
      </c>
      <c r="J141" s="4">
        <f t="shared" si="76"/>
        <v>0</v>
      </c>
      <c r="K141" s="4">
        <f t="shared" si="77"/>
      </c>
      <c r="L141" s="4">
        <f t="shared" si="86"/>
      </c>
      <c r="M141" s="4">
        <f t="shared" si="87"/>
        <v>0</v>
      </c>
      <c r="N141" s="4">
        <f t="shared" si="88"/>
      </c>
      <c r="O141" s="4">
        <f t="shared" si="89"/>
        <v>0</v>
      </c>
      <c r="P141" s="4">
        <f t="shared" si="78"/>
      </c>
      <c r="Q141" s="4">
        <f t="shared" si="90"/>
        <v>0</v>
      </c>
      <c r="R141" s="4">
        <f t="shared" si="79"/>
      </c>
      <c r="S141" s="4">
        <f t="shared" si="91"/>
        <v>0</v>
      </c>
      <c r="T141" s="4">
        <f t="shared" si="92"/>
        <v>1</v>
      </c>
      <c r="U141" s="5">
        <f t="shared" si="93"/>
        <v>15</v>
      </c>
      <c r="V141" s="5">
        <f t="shared" si="80"/>
        <v>15</v>
      </c>
      <c r="X141" s="5">
        <f t="shared" si="81"/>
        <v>15</v>
      </c>
      <c r="Z141" s="5" t="s">
        <v>908</v>
      </c>
      <c r="AB141" s="5">
        <f>VLOOKUP(AG141,Enchantments!$E$8:$G$36,3,FALSE)</f>
        <v>30</v>
      </c>
      <c r="AD141" s="6" t="s">
        <v>165</v>
      </c>
      <c r="AE141" s="4" t="s">
        <v>865</v>
      </c>
      <c r="AG141" t="s">
        <v>513</v>
      </c>
      <c r="AH141" s="4" t="b">
        <f t="shared" si="82"/>
        <v>1</v>
      </c>
      <c r="AI141" s="4" t="s">
        <v>682</v>
      </c>
      <c r="AO141" s="4">
        <f>COUNTIF(SpellbooksOwned!$D$2:$K$49,$A141)</f>
        <v>1</v>
      </c>
      <c r="AP141" s="4">
        <f>IF(ISBLANK(AI141),0,VLOOKUP(AI141,SpellbooksOwned!$A$1:$B$49,2,FALSE))</f>
        <v>1</v>
      </c>
      <c r="AQ141" s="4">
        <f>IF(ISBLANK(AJ141),0,VLOOKUP(AJ141,SpellbooksOwned!$A$1:$B$49,2,FALSE))</f>
        <v>0</v>
      </c>
      <c r="AR141" s="4">
        <f>IF(ISBLANK(AK141),0,VLOOKUP(AK141,SpellbooksOwned!$A$1:$B$49,2,FALSE))</f>
        <v>0</v>
      </c>
      <c r="AS141" s="4">
        <f>IF(ISBLANK(AL141),0,VLOOKUP(AL141,SpellbooksOwned!$A$1:$B$49,2,FALSE))</f>
        <v>0</v>
      </c>
      <c r="AT141" s="4">
        <f>IF(ISBLANK(AM141),0,VLOOKUP(AM141,SpellbooksOwned!$A$1:$B$49,2,FALSE))</f>
        <v>0</v>
      </c>
      <c r="AU141" s="4">
        <f>IF(ISBLANK(AN141),0,VLOOKUP(AN141,SpellbooksOwned!$A$1:$B$49,2,FALSE))</f>
        <v>0</v>
      </c>
      <c r="AV141" s="4">
        <f t="shared" si="83"/>
        <v>-31</v>
      </c>
      <c r="AW141" s="26">
        <f t="shared" si="84"/>
        <v>18</v>
      </c>
      <c r="AX141" s="29">
        <f t="shared" si="71"/>
        <v>0.025587989795647026</v>
      </c>
      <c r="AY141" s="4" t="str">
        <f t="shared" si="85"/>
        <v>Great</v>
      </c>
      <c r="AZ141" s="4"/>
    </row>
    <row r="142" spans="1:52" ht="12.75">
      <c r="A142" s="4" t="s">
        <v>891</v>
      </c>
      <c r="B142" s="4">
        <v>8</v>
      </c>
      <c r="C142" s="4" t="s">
        <v>589</v>
      </c>
      <c r="F142" s="4">
        <f t="shared" si="72"/>
        <v>6</v>
      </c>
      <c r="G142" s="4">
        <f t="shared" si="73"/>
      </c>
      <c r="H142" s="4">
        <f t="shared" si="74"/>
      </c>
      <c r="I142" s="4">
        <f t="shared" si="75"/>
        <v>21</v>
      </c>
      <c r="J142" s="4">
        <f t="shared" si="76"/>
        <v>0</v>
      </c>
      <c r="K142" s="4">
        <f t="shared" si="77"/>
      </c>
      <c r="L142" s="4">
        <f t="shared" si="86"/>
      </c>
      <c r="M142" s="4">
        <f t="shared" si="87"/>
        <v>0</v>
      </c>
      <c r="N142" s="4">
        <f t="shared" si="88"/>
      </c>
      <c r="O142" s="4">
        <f t="shared" si="89"/>
        <v>0</v>
      </c>
      <c r="P142" s="4">
        <f t="shared" si="78"/>
      </c>
      <c r="Q142" s="4">
        <f t="shared" si="90"/>
        <v>0</v>
      </c>
      <c r="R142" s="4">
        <f t="shared" si="79"/>
      </c>
      <c r="S142" s="4">
        <f t="shared" si="91"/>
        <v>0</v>
      </c>
      <c r="T142" s="4">
        <f t="shared" si="92"/>
        <v>1</v>
      </c>
      <c r="U142" s="5">
        <f t="shared" si="93"/>
        <v>29</v>
      </c>
      <c r="V142" s="5">
        <f t="shared" si="80"/>
        <v>29</v>
      </c>
      <c r="X142" s="5">
        <f t="shared" si="81"/>
        <v>29</v>
      </c>
      <c r="Z142" s="5" t="s">
        <v>908</v>
      </c>
      <c r="AB142" s="5">
        <f>VLOOKUP(AG142,Enchantments!$E$8:$G$36,3,FALSE)</f>
        <v>90</v>
      </c>
      <c r="AD142" s="6" t="s">
        <v>523</v>
      </c>
      <c r="AE142" s="4" t="s">
        <v>910</v>
      </c>
      <c r="AG142" s="5" t="str">
        <f>CONCATENATE("ENCH_ABJ_",TEXT(MIN(6,2+INT((X142+1)/2/4)),"0"))</f>
        <v>ENCH_ABJ_5</v>
      </c>
      <c r="AH142" s="4" t="e">
        <f t="shared" si="82"/>
        <v>#N/A</v>
      </c>
      <c r="AI142" s="4" t="s">
        <v>1032</v>
      </c>
      <c r="AO142" s="4">
        <f>COUNTIF(SpellbooksOwned!$D$2:$K$49,$A142)</f>
        <v>0</v>
      </c>
      <c r="AP142" s="4" t="e">
        <f>IF(ISBLANK(AI142),0,VLOOKUP(AI142,SpellbooksOwned!$A$1:$B$49,2,FALSE))</f>
        <v>#N/A</v>
      </c>
      <c r="AQ142" s="4">
        <f>IF(ISBLANK(AJ142),0,VLOOKUP(AJ142,SpellbooksOwned!$A$1:$B$49,2,FALSE))</f>
        <v>0</v>
      </c>
      <c r="AR142" s="4">
        <f>IF(ISBLANK(AK142),0,VLOOKUP(AK142,SpellbooksOwned!$A$1:$B$49,2,FALSE))</f>
        <v>0</v>
      </c>
      <c r="AS142" s="4">
        <f>IF(ISBLANK(AL142),0,VLOOKUP(AL142,SpellbooksOwned!$A$1:$B$49,2,FALSE))</f>
        <v>0</v>
      </c>
      <c r="AT142" s="4">
        <f>IF(ISBLANK(AM142),0,VLOOKUP(AM142,SpellbooksOwned!$A$1:$B$49,2,FALSE))</f>
        <v>0</v>
      </c>
      <c r="AU142" s="4">
        <f>IF(ISBLANK(AN142),0,VLOOKUP(AN142,SpellbooksOwned!$A$1:$B$49,2,FALSE))</f>
        <v>0</v>
      </c>
      <c r="AV142" s="4">
        <f t="shared" si="83"/>
        <v>166</v>
      </c>
      <c r="AW142" s="26">
        <f t="shared" si="84"/>
        <v>100</v>
      </c>
      <c r="AX142" s="29">
        <f t="shared" si="71"/>
        <v>0.9985109323648599</v>
      </c>
      <c r="AY142" s="4" t="str">
        <f t="shared" si="85"/>
        <v>Useless</v>
      </c>
      <c r="AZ142" s="4"/>
    </row>
    <row r="143" spans="1:52" ht="12.75">
      <c r="A143" s="4" t="s">
        <v>558</v>
      </c>
      <c r="B143" s="4">
        <v>5</v>
      </c>
      <c r="C143" s="4" t="s">
        <v>477</v>
      </c>
      <c r="F143" s="4">
        <f t="shared" si="72"/>
        <v>1</v>
      </c>
      <c r="G143" s="4">
        <f t="shared" si="73"/>
      </c>
      <c r="H143" s="4">
        <f t="shared" si="74"/>
      </c>
      <c r="I143" s="4">
        <f t="shared" si="75"/>
        <v>11</v>
      </c>
      <c r="J143" s="4">
        <f t="shared" si="76"/>
        <v>0</v>
      </c>
      <c r="K143" s="4">
        <f t="shared" si="77"/>
      </c>
      <c r="L143" s="4">
        <f t="shared" si="86"/>
      </c>
      <c r="M143" s="4">
        <f t="shared" si="87"/>
        <v>0</v>
      </c>
      <c r="N143" s="4">
        <f t="shared" si="88"/>
      </c>
      <c r="O143" s="4">
        <f t="shared" si="89"/>
        <v>0</v>
      </c>
      <c r="P143" s="4">
        <f t="shared" si="78"/>
      </c>
      <c r="Q143" s="4">
        <f t="shared" si="90"/>
        <v>0</v>
      </c>
      <c r="R143" s="4">
        <f t="shared" si="79"/>
      </c>
      <c r="S143" s="4">
        <f t="shared" si="91"/>
        <v>0</v>
      </c>
      <c r="T143" s="4">
        <f t="shared" si="92"/>
        <v>1</v>
      </c>
      <c r="U143" s="5">
        <f t="shared" si="93"/>
        <v>15</v>
      </c>
      <c r="V143" s="5">
        <f t="shared" si="80"/>
        <v>15</v>
      </c>
      <c r="X143" s="5">
        <f t="shared" si="81"/>
        <v>15</v>
      </c>
      <c r="Z143" s="5" t="s">
        <v>908</v>
      </c>
      <c r="AB143" s="5">
        <f>VLOOKUP(AG143,Enchantments!$E$8:$G$36,3,FALSE)</f>
        <v>40</v>
      </c>
      <c r="AC143" s="5">
        <f>MIN(1,4*2/X143)</f>
        <v>0.5333333333333333</v>
      </c>
      <c r="AD143" s="6" t="s">
        <v>533</v>
      </c>
      <c r="AE143" s="4" t="s">
        <v>822</v>
      </c>
      <c r="AG143" s="5" t="str">
        <f>CONCATENATE("ENCH_ABJ_",TEXT(MIN(6,2+INT((X143+1)/2/4)),"0"))</f>
        <v>ENCH_ABJ_4</v>
      </c>
      <c r="AH143" s="4" t="b">
        <f t="shared" si="82"/>
        <v>0</v>
      </c>
      <c r="AI143" s="4" t="s">
        <v>631</v>
      </c>
      <c r="AO143" s="4">
        <f>COUNTIF(SpellbooksOwned!$D$2:$K$49,$A143)</f>
        <v>1</v>
      </c>
      <c r="AP143" s="4">
        <f>IF(ISBLANK(AI143),0,VLOOKUP(AI143,SpellbooksOwned!$A$1:$B$49,2,FALSE))</f>
        <v>0</v>
      </c>
      <c r="AQ143" s="4">
        <f>IF(ISBLANK(AJ143),0,VLOOKUP(AJ143,SpellbooksOwned!$A$1:$B$49,2,FALSE))</f>
        <v>0</v>
      </c>
      <c r="AR143" s="4">
        <f>IF(ISBLANK(AK143),0,VLOOKUP(AK143,SpellbooksOwned!$A$1:$B$49,2,FALSE))</f>
        <v>0</v>
      </c>
      <c r="AS143" s="4">
        <f>IF(ISBLANK(AL143),0,VLOOKUP(AL143,SpellbooksOwned!$A$1:$B$49,2,FALSE))</f>
        <v>0</v>
      </c>
      <c r="AT143" s="4">
        <f>IF(ISBLANK(AM143),0,VLOOKUP(AM143,SpellbooksOwned!$A$1:$B$49,2,FALSE))</f>
        <v>0</v>
      </c>
      <c r="AU143" s="4">
        <f>IF(ISBLANK(AN143),0,VLOOKUP(AN143,SpellbooksOwned!$A$1:$B$49,2,FALSE))</f>
        <v>0</v>
      </c>
      <c r="AV143" s="4">
        <f t="shared" si="83"/>
        <v>66</v>
      </c>
      <c r="AW143" s="26">
        <f t="shared" si="84"/>
        <v>66</v>
      </c>
      <c r="AX143" s="29">
        <f t="shared" si="71"/>
        <v>0.8238144797733274</v>
      </c>
      <c r="AY143" s="4" t="str">
        <f t="shared" si="85"/>
        <v>Very Poor</v>
      </c>
      <c r="AZ143" s="4"/>
    </row>
    <row r="144" spans="1:52" ht="12.75">
      <c r="A144" s="4" t="s">
        <v>559</v>
      </c>
      <c r="B144" s="4">
        <v>4</v>
      </c>
      <c r="C144" s="4" t="s">
        <v>477</v>
      </c>
      <c r="F144" s="4">
        <f t="shared" si="72"/>
        <v>1</v>
      </c>
      <c r="G144" s="4">
        <f t="shared" si="73"/>
      </c>
      <c r="H144" s="4">
        <f t="shared" si="74"/>
      </c>
      <c r="I144" s="4">
        <f t="shared" si="75"/>
        <v>11</v>
      </c>
      <c r="J144" s="4">
        <f t="shared" si="76"/>
        <v>0</v>
      </c>
      <c r="K144" s="4">
        <f t="shared" si="77"/>
      </c>
      <c r="L144" s="4">
        <f t="shared" si="86"/>
      </c>
      <c r="M144" s="4">
        <f t="shared" si="87"/>
        <v>0</v>
      </c>
      <c r="N144" s="4">
        <f t="shared" si="88"/>
      </c>
      <c r="O144" s="4">
        <f t="shared" si="89"/>
        <v>0</v>
      </c>
      <c r="P144" s="4">
        <f t="shared" si="78"/>
      </c>
      <c r="Q144" s="4">
        <f t="shared" si="90"/>
        <v>0</v>
      </c>
      <c r="R144" s="4">
        <f t="shared" si="79"/>
      </c>
      <c r="S144" s="4">
        <f t="shared" si="91"/>
        <v>0</v>
      </c>
      <c r="T144" s="4">
        <f t="shared" si="92"/>
        <v>1</v>
      </c>
      <c r="U144" s="5">
        <f t="shared" si="93"/>
        <v>15</v>
      </c>
      <c r="V144" s="5">
        <f t="shared" si="80"/>
        <v>15</v>
      </c>
      <c r="X144" s="5">
        <f t="shared" si="81"/>
        <v>15</v>
      </c>
      <c r="Z144" s="5" t="s">
        <v>908</v>
      </c>
      <c r="AB144" s="5">
        <f>VLOOKUP(AG144,Enchantments!$E$8:$G$36,3,FALSE)</f>
        <v>30</v>
      </c>
      <c r="AD144" s="6" t="s">
        <v>93</v>
      </c>
      <c r="AE144" s="4" t="s">
        <v>734</v>
      </c>
      <c r="AG144" s="5" t="str">
        <f>CONCATENATE("ENCH_ABJ_",TEXT(MIN(6,2+INT((X144+1)/2/5)),"0"))</f>
        <v>ENCH_ABJ_3</v>
      </c>
      <c r="AH144" s="4" t="b">
        <f t="shared" si="82"/>
        <v>1</v>
      </c>
      <c r="AI144" s="4" t="s">
        <v>364</v>
      </c>
      <c r="AJ144" s="4" t="s">
        <v>1019</v>
      </c>
      <c r="AK144" s="4" t="s">
        <v>659</v>
      </c>
      <c r="AL144" s="4" t="s">
        <v>1021</v>
      </c>
      <c r="AM144" t="s">
        <v>27</v>
      </c>
      <c r="AO144" s="4">
        <f>COUNTIF(SpellbooksOwned!$D$2:$K$49,$A144)</f>
        <v>5</v>
      </c>
      <c r="AP144" s="4">
        <f>IF(ISBLANK(AI144),0,VLOOKUP(AI144,SpellbooksOwned!$A$1:$B$49,2,FALSE))</f>
        <v>0</v>
      </c>
      <c r="AQ144" s="4">
        <f>IF(ISBLANK(AJ144),0,VLOOKUP(AJ144,SpellbooksOwned!$A$1:$B$49,2,FALSE))</f>
        <v>0</v>
      </c>
      <c r="AR144" s="4">
        <f>IF(ISBLANK(AK144),0,VLOOKUP(AK144,SpellbooksOwned!$A$1:$B$49,2,FALSE))</f>
        <v>1</v>
      </c>
      <c r="AS144" s="4">
        <f>IF(ISBLANK(AL144),0,VLOOKUP(AL144,SpellbooksOwned!$A$1:$B$49,2,FALSE))</f>
        <v>1</v>
      </c>
      <c r="AT144" s="4">
        <f>IF(ISBLANK(AM144),0,VLOOKUP(AM144,SpellbooksOwned!$A$1:$B$49,2,FALSE))</f>
        <v>1</v>
      </c>
      <c r="AU144" s="4">
        <f>IF(ISBLANK(AN144),0,VLOOKUP(AN144,SpellbooksOwned!$A$1:$B$49,2,FALSE))</f>
        <v>0</v>
      </c>
      <c r="AV144" s="4">
        <f t="shared" si="83"/>
        <v>36</v>
      </c>
      <c r="AW144" s="26">
        <f t="shared" si="84"/>
        <v>41</v>
      </c>
      <c r="AX144" s="29">
        <f t="shared" si="71"/>
        <v>0.28433880816463963</v>
      </c>
      <c r="AY144" s="4" t="str">
        <f t="shared" si="85"/>
        <v>Fair</v>
      </c>
      <c r="AZ144" s="4"/>
    </row>
    <row r="145" spans="1:52" ht="12.75">
      <c r="A145" s="4" t="s">
        <v>560</v>
      </c>
      <c r="B145" s="4">
        <v>7</v>
      </c>
      <c r="C145" s="4" t="s">
        <v>477</v>
      </c>
      <c r="F145" s="4">
        <f t="shared" si="72"/>
        <v>1</v>
      </c>
      <c r="G145" s="4">
        <f t="shared" si="73"/>
      </c>
      <c r="H145" s="4">
        <f t="shared" si="74"/>
      </c>
      <c r="I145" s="4">
        <f t="shared" si="75"/>
        <v>11</v>
      </c>
      <c r="J145" s="4">
        <f t="shared" si="76"/>
        <v>0</v>
      </c>
      <c r="K145" s="4">
        <f t="shared" si="77"/>
      </c>
      <c r="L145" s="4">
        <f t="shared" si="86"/>
      </c>
      <c r="M145" s="4">
        <f t="shared" si="87"/>
        <v>0</v>
      </c>
      <c r="N145" s="4">
        <f t="shared" si="88"/>
      </c>
      <c r="O145" s="4">
        <f t="shared" si="89"/>
        <v>0</v>
      </c>
      <c r="P145" s="4">
        <f t="shared" si="78"/>
      </c>
      <c r="Q145" s="4">
        <f t="shared" si="90"/>
        <v>0</v>
      </c>
      <c r="R145" s="4">
        <f t="shared" si="79"/>
      </c>
      <c r="S145" s="4">
        <f t="shared" si="91"/>
        <v>0</v>
      </c>
      <c r="T145" s="4">
        <f t="shared" si="92"/>
        <v>1</v>
      </c>
      <c r="U145" s="5">
        <f aca="true" t="shared" si="94" ref="U145:U165">INT(INT(I145*T145)*Intelligence/10)</f>
        <v>15</v>
      </c>
      <c r="V145" s="5">
        <f t="shared" si="80"/>
        <v>15</v>
      </c>
      <c r="X145" s="5">
        <f t="shared" si="81"/>
        <v>15</v>
      </c>
      <c r="Z145" s="5" t="s">
        <v>908</v>
      </c>
      <c r="AB145" s="5">
        <f>VLOOKUP(AG145,Enchantments!$E$8:$G$36,3,FALSE)</f>
        <v>90</v>
      </c>
      <c r="AC145" s="5">
        <f>MIN(1,6*2/X145)</f>
        <v>0.8</v>
      </c>
      <c r="AD145" s="6" t="s">
        <v>749</v>
      </c>
      <c r="AE145" s="4" t="s">
        <v>823</v>
      </c>
      <c r="AG145" s="5" t="s">
        <v>515</v>
      </c>
      <c r="AH145" s="4" t="b">
        <f t="shared" si="82"/>
        <v>0</v>
      </c>
      <c r="AI145" s="4" t="s">
        <v>631</v>
      </c>
      <c r="AO145" s="4">
        <f>COUNTIF(SpellbooksOwned!$D$2:$K$49,$A145)</f>
        <v>1</v>
      </c>
      <c r="AP145" s="4">
        <f>IF(ISBLANK(AI145),0,VLOOKUP(AI145,SpellbooksOwned!$A$1:$B$49,2,FALSE))</f>
        <v>0</v>
      </c>
      <c r="AQ145" s="4">
        <f>IF(ISBLANK(AJ145),0,VLOOKUP(AJ145,SpellbooksOwned!$A$1:$B$49,2,FALSE))</f>
        <v>0</v>
      </c>
      <c r="AR145" s="4">
        <f>IF(ISBLANK(AK145),0,VLOOKUP(AK145,SpellbooksOwned!$A$1:$B$49,2,FALSE))</f>
        <v>0</v>
      </c>
      <c r="AS145" s="4">
        <f>IF(ISBLANK(AL145),0,VLOOKUP(AL145,SpellbooksOwned!$A$1:$B$49,2,FALSE))</f>
        <v>0</v>
      </c>
      <c r="AT145" s="4">
        <f>IF(ISBLANK(AM145),0,VLOOKUP(AM145,SpellbooksOwned!$A$1:$B$49,2,FALSE))</f>
        <v>0</v>
      </c>
      <c r="AU145" s="4">
        <f>IF(ISBLANK(AN145),0,VLOOKUP(AN145,SpellbooksOwned!$A$1:$B$49,2,FALSE))</f>
        <v>0</v>
      </c>
      <c r="AV145" s="4">
        <f t="shared" si="83"/>
        <v>166</v>
      </c>
      <c r="AW145" s="26">
        <f t="shared" si="84"/>
        <v>100</v>
      </c>
      <c r="AX145" s="29">
        <f t="shared" si="71"/>
        <v>0.9985109323648599</v>
      </c>
      <c r="AY145" s="4" t="str">
        <f t="shared" si="85"/>
        <v>Useless</v>
      </c>
      <c r="AZ145" s="4"/>
    </row>
    <row r="146" spans="1:52" ht="12.75">
      <c r="A146" s="4" t="s">
        <v>561</v>
      </c>
      <c r="B146" s="4">
        <v>8</v>
      </c>
      <c r="C146" s="4" t="s">
        <v>477</v>
      </c>
      <c r="F146" s="4">
        <f t="shared" si="72"/>
        <v>1</v>
      </c>
      <c r="G146" s="4">
        <f t="shared" si="73"/>
      </c>
      <c r="H146" s="4">
        <f t="shared" si="74"/>
      </c>
      <c r="I146" s="4">
        <f t="shared" si="75"/>
        <v>11</v>
      </c>
      <c r="J146" s="4">
        <f t="shared" si="76"/>
        <v>0</v>
      </c>
      <c r="K146" s="4">
        <f t="shared" si="77"/>
      </c>
      <c r="L146" s="4">
        <f t="shared" si="86"/>
      </c>
      <c r="M146" s="4">
        <f t="shared" si="87"/>
        <v>0</v>
      </c>
      <c r="N146" s="4">
        <f t="shared" si="88"/>
      </c>
      <c r="O146" s="4">
        <f t="shared" si="89"/>
        <v>0</v>
      </c>
      <c r="P146" s="4">
        <f t="shared" si="78"/>
      </c>
      <c r="Q146" s="4">
        <f t="shared" si="90"/>
        <v>0</v>
      </c>
      <c r="R146" s="4">
        <f t="shared" si="79"/>
      </c>
      <c r="S146" s="4">
        <f t="shared" si="91"/>
        <v>0</v>
      </c>
      <c r="T146" s="4">
        <f t="shared" si="92"/>
        <v>1</v>
      </c>
      <c r="U146" s="5">
        <f t="shared" si="94"/>
        <v>15</v>
      </c>
      <c r="V146" s="5">
        <f t="shared" si="80"/>
        <v>15</v>
      </c>
      <c r="X146" s="5">
        <f t="shared" si="81"/>
        <v>15</v>
      </c>
      <c r="Z146" s="5" t="s">
        <v>908</v>
      </c>
      <c r="AB146" s="5" t="s">
        <v>95</v>
      </c>
      <c r="AD146" s="6" t="s">
        <v>147</v>
      </c>
      <c r="AE146" s="4" t="s">
        <v>731</v>
      </c>
      <c r="AH146" s="4" t="b">
        <f t="shared" si="82"/>
        <v>0</v>
      </c>
      <c r="AI146" s="4" t="s">
        <v>38</v>
      </c>
      <c r="AO146" s="4">
        <f>COUNTIF(SpellbooksOwned!$D$2:$K$49,$A146)</f>
        <v>1</v>
      </c>
      <c r="AP146" s="4">
        <f>IF(ISBLANK(AI146),0,VLOOKUP(AI146,SpellbooksOwned!$A$1:$B$49,2,FALSE))</f>
        <v>0</v>
      </c>
      <c r="AQ146" s="4">
        <f>IF(ISBLANK(AJ146),0,VLOOKUP(AJ146,SpellbooksOwned!$A$1:$B$49,2,FALSE))</f>
        <v>0</v>
      </c>
      <c r="AR146" s="4">
        <f>IF(ISBLANK(AK146),0,VLOOKUP(AK146,SpellbooksOwned!$A$1:$B$49,2,FALSE))</f>
        <v>0</v>
      </c>
      <c r="AS146" s="4">
        <f>IF(ISBLANK(AL146),0,VLOOKUP(AL146,SpellbooksOwned!$A$1:$B$49,2,FALSE))</f>
        <v>0</v>
      </c>
      <c r="AT146" s="4">
        <f>IF(ISBLANK(AM146),0,VLOOKUP(AM146,SpellbooksOwned!$A$1:$B$49,2,FALSE))</f>
        <v>0</v>
      </c>
      <c r="AU146" s="4">
        <f>IF(ISBLANK(AN146),0,VLOOKUP(AN146,SpellbooksOwned!$A$1:$B$49,2,FALSE))</f>
        <v>0</v>
      </c>
      <c r="AV146" s="4">
        <f t="shared" si="83"/>
        <v>226</v>
      </c>
      <c r="AW146" s="26">
        <f t="shared" si="84"/>
        <v>100</v>
      </c>
      <c r="AX146" s="29">
        <f t="shared" si="71"/>
        <v>0.9985109323648599</v>
      </c>
      <c r="AY146" s="4" t="str">
        <f t="shared" si="85"/>
        <v>Useless</v>
      </c>
      <c r="AZ146" s="4"/>
    </row>
    <row r="147" spans="1:52" ht="12.75">
      <c r="A147" s="4" t="s">
        <v>562</v>
      </c>
      <c r="B147" s="4">
        <v>5</v>
      </c>
      <c r="C147" s="4" t="s">
        <v>367</v>
      </c>
      <c r="D147" s="4" t="s">
        <v>477</v>
      </c>
      <c r="F147" s="4">
        <f t="shared" si="72"/>
        <v>1</v>
      </c>
      <c r="G147" s="4">
        <f t="shared" si="73"/>
        <v>1</v>
      </c>
      <c r="H147" s="4">
        <f t="shared" si="74"/>
      </c>
      <c r="I147" s="4">
        <f t="shared" si="75"/>
        <v>11</v>
      </c>
      <c r="J147" s="4">
        <f t="shared" si="76"/>
        <v>0</v>
      </c>
      <c r="K147" s="4">
        <f t="shared" si="77"/>
        <v>0</v>
      </c>
      <c r="L147" s="4">
        <f t="shared" si="86"/>
      </c>
      <c r="M147" s="4" t="str">
        <f t="shared" si="87"/>
        <v>Fire</v>
      </c>
      <c r="N147" s="4">
        <f t="shared" si="88"/>
        <v>0</v>
      </c>
      <c r="O147" s="4">
        <f t="shared" si="89"/>
        <v>0</v>
      </c>
      <c r="P147" s="4">
        <f t="shared" si="78"/>
      </c>
      <c r="Q147" s="4">
        <f t="shared" si="90"/>
        <v>0</v>
      </c>
      <c r="R147" s="4">
        <f t="shared" si="79"/>
      </c>
      <c r="S147" s="4">
        <f t="shared" si="91"/>
        <v>0</v>
      </c>
      <c r="T147" s="4">
        <f t="shared" si="92"/>
        <v>1</v>
      </c>
      <c r="U147" s="5">
        <f t="shared" si="94"/>
        <v>15</v>
      </c>
      <c r="V147" s="5">
        <f t="shared" si="80"/>
        <v>15</v>
      </c>
      <c r="X147" s="5">
        <f t="shared" si="81"/>
        <v>15</v>
      </c>
      <c r="Z147" s="5" t="s">
        <v>908</v>
      </c>
      <c r="AB147" s="5">
        <f>VLOOKUP(AG147,Enchantments!$E$8:$G$36,3,FALSE)</f>
        <v>40</v>
      </c>
      <c r="AD147" s="6" t="s">
        <v>524</v>
      </c>
      <c r="AE147" s="4" t="s">
        <v>726</v>
      </c>
      <c r="AG147" s="5" t="str">
        <f>CONCATENATE("ENCH_ABJ_",TEXT(MIN(6,2+INT((X147+1)/2/4)),"0"))</f>
        <v>ENCH_ABJ_4</v>
      </c>
      <c r="AH147" s="4" t="b">
        <f t="shared" si="82"/>
        <v>1</v>
      </c>
      <c r="AI147" s="4" t="s">
        <v>587</v>
      </c>
      <c r="AJ147" s="4" t="s">
        <v>1019</v>
      </c>
      <c r="AO147" s="4">
        <f>COUNTIF(SpellbooksOwned!$D$2:$K$49,$A147)</f>
        <v>2</v>
      </c>
      <c r="AP147" s="4">
        <f>IF(ISBLANK(AI147),0,VLOOKUP(AI147,SpellbooksOwned!$A$1:$B$49,2,FALSE))</f>
        <v>1</v>
      </c>
      <c r="AQ147" s="4">
        <f>IF(ISBLANK(AJ147),0,VLOOKUP(AJ147,SpellbooksOwned!$A$1:$B$49,2,FALSE))</f>
        <v>0</v>
      </c>
      <c r="AR147" s="4">
        <f>IF(ISBLANK(AK147),0,VLOOKUP(AK147,SpellbooksOwned!$A$1:$B$49,2,FALSE))</f>
        <v>0</v>
      </c>
      <c r="AS147" s="4">
        <f>IF(ISBLANK(AL147),0,VLOOKUP(AL147,SpellbooksOwned!$A$1:$B$49,2,FALSE))</f>
        <v>0</v>
      </c>
      <c r="AT147" s="4">
        <f>IF(ISBLANK(AM147),0,VLOOKUP(AM147,SpellbooksOwned!$A$1:$B$49,2,FALSE))</f>
        <v>0</v>
      </c>
      <c r="AU147" s="4">
        <f>IF(ISBLANK(AN147),0,VLOOKUP(AN147,SpellbooksOwned!$A$1:$B$49,2,FALSE))</f>
        <v>0</v>
      </c>
      <c r="AV147" s="4">
        <f t="shared" si="83"/>
        <v>66</v>
      </c>
      <c r="AW147" s="26">
        <f t="shared" si="84"/>
        <v>66</v>
      </c>
      <c r="AX147" s="29">
        <f t="shared" si="71"/>
        <v>0.8238144797733274</v>
      </c>
      <c r="AY147" s="4" t="str">
        <f t="shared" si="85"/>
        <v>Very Poor</v>
      </c>
      <c r="AZ147" s="4"/>
    </row>
    <row r="148" spans="1:52" ht="12.75">
      <c r="A148" s="4" t="s">
        <v>563</v>
      </c>
      <c r="B148" s="4">
        <v>4</v>
      </c>
      <c r="C148" s="4" t="s">
        <v>420</v>
      </c>
      <c r="D148" s="4" t="s">
        <v>477</v>
      </c>
      <c r="F148" s="4">
        <f t="shared" si="72"/>
        <v>1</v>
      </c>
      <c r="G148" s="4">
        <f t="shared" si="73"/>
        <v>1</v>
      </c>
      <c r="H148" s="4">
        <f t="shared" si="74"/>
      </c>
      <c r="I148" s="4">
        <f t="shared" si="75"/>
        <v>11</v>
      </c>
      <c r="J148" s="4">
        <f t="shared" si="76"/>
        <v>0</v>
      </c>
      <c r="K148" s="4">
        <f t="shared" si="77"/>
        <v>0</v>
      </c>
      <c r="L148" s="4">
        <f t="shared" si="86"/>
      </c>
      <c r="M148" s="4">
        <f t="shared" si="87"/>
        <v>0</v>
      </c>
      <c r="N148" s="4">
        <f t="shared" si="88"/>
      </c>
      <c r="O148" s="4">
        <f t="shared" si="89"/>
        <v>0</v>
      </c>
      <c r="P148" s="4">
        <f t="shared" si="78"/>
      </c>
      <c r="Q148" s="4">
        <f t="shared" si="90"/>
        <v>0</v>
      </c>
      <c r="R148" s="4">
        <f t="shared" si="79"/>
      </c>
      <c r="S148" s="4">
        <f t="shared" si="91"/>
        <v>0</v>
      </c>
      <c r="T148" s="4">
        <f t="shared" si="92"/>
        <v>1</v>
      </c>
      <c r="U148" s="5">
        <f t="shared" si="94"/>
        <v>15</v>
      </c>
      <c r="V148" s="5">
        <f t="shared" si="80"/>
        <v>15</v>
      </c>
      <c r="X148" s="5">
        <f t="shared" si="81"/>
        <v>15</v>
      </c>
      <c r="Z148" s="5" t="s">
        <v>908</v>
      </c>
      <c r="AB148" s="5">
        <f>VLOOKUP(AG148,Enchantments!$E$8:$G$36,3,FALSE)</f>
        <v>30</v>
      </c>
      <c r="AC148" s="5">
        <f>MIN(1,4*2/X148)</f>
        <v>0.5333333333333333</v>
      </c>
      <c r="AD148" s="6" t="s">
        <v>522</v>
      </c>
      <c r="AE148" s="4" t="s">
        <v>817</v>
      </c>
      <c r="AG148" s="4" t="s">
        <v>513</v>
      </c>
      <c r="AH148" s="4" t="b">
        <f t="shared" si="82"/>
        <v>0</v>
      </c>
      <c r="AI148" s="4" t="s">
        <v>1019</v>
      </c>
      <c r="AJ148" s="4" t="s">
        <v>644</v>
      </c>
      <c r="AO148" s="4">
        <f>COUNTIF(SpellbooksOwned!$D$2:$K$49,$A148)</f>
        <v>2</v>
      </c>
      <c r="AP148" s="4">
        <f>IF(ISBLANK(AI148),0,VLOOKUP(AI148,SpellbooksOwned!$A$1:$B$49,2,FALSE))</f>
        <v>0</v>
      </c>
      <c r="AQ148" s="4">
        <f>IF(ISBLANK(AJ148),0,VLOOKUP(AJ148,SpellbooksOwned!$A$1:$B$49,2,FALSE))</f>
        <v>0</v>
      </c>
      <c r="AR148" s="4">
        <f>IF(ISBLANK(AK148),0,VLOOKUP(AK148,SpellbooksOwned!$A$1:$B$49,2,FALSE))</f>
        <v>0</v>
      </c>
      <c r="AS148" s="4">
        <f>IF(ISBLANK(AL148),0,VLOOKUP(AL148,SpellbooksOwned!$A$1:$B$49,2,FALSE))</f>
        <v>0</v>
      </c>
      <c r="AT148" s="4">
        <f>IF(ISBLANK(AM148),0,VLOOKUP(AM148,SpellbooksOwned!$A$1:$B$49,2,FALSE))</f>
        <v>0</v>
      </c>
      <c r="AU148" s="4">
        <f>IF(ISBLANK(AN148),0,VLOOKUP(AN148,SpellbooksOwned!$A$1:$B$49,2,FALSE))</f>
        <v>0</v>
      </c>
      <c r="AV148" s="4">
        <f t="shared" si="83"/>
        <v>36</v>
      </c>
      <c r="AW148" s="26">
        <f t="shared" si="84"/>
        <v>41</v>
      </c>
      <c r="AX148" s="29">
        <f t="shared" si="71"/>
        <v>0.28433880816463963</v>
      </c>
      <c r="AY148" s="4" t="str">
        <f t="shared" si="85"/>
        <v>Fair</v>
      </c>
      <c r="AZ148" s="4"/>
    </row>
    <row r="149" spans="1:52" ht="12.75">
      <c r="A149" s="4" t="s">
        <v>564</v>
      </c>
      <c r="B149" s="4">
        <v>1</v>
      </c>
      <c r="C149" s="4" t="s">
        <v>477</v>
      </c>
      <c r="F149" s="4">
        <f t="shared" si="72"/>
        <v>1</v>
      </c>
      <c r="G149" s="4">
        <f t="shared" si="73"/>
      </c>
      <c r="H149" s="4">
        <f t="shared" si="74"/>
      </c>
      <c r="I149" s="4">
        <f t="shared" si="75"/>
        <v>11</v>
      </c>
      <c r="J149" s="4">
        <f t="shared" si="76"/>
        <v>0</v>
      </c>
      <c r="K149" s="4">
        <f t="shared" si="77"/>
      </c>
      <c r="L149" s="4">
        <f t="shared" si="86"/>
      </c>
      <c r="M149" s="4">
        <f t="shared" si="87"/>
        <v>0</v>
      </c>
      <c r="N149" s="4">
        <f t="shared" si="88"/>
      </c>
      <c r="O149" s="4">
        <f t="shared" si="89"/>
        <v>0</v>
      </c>
      <c r="P149" s="4">
        <f t="shared" si="78"/>
      </c>
      <c r="Q149" s="4">
        <f t="shared" si="90"/>
        <v>0</v>
      </c>
      <c r="R149" s="4">
        <f t="shared" si="79"/>
      </c>
      <c r="S149" s="4">
        <f t="shared" si="91"/>
        <v>0</v>
      </c>
      <c r="T149" s="4">
        <f t="shared" si="92"/>
        <v>1</v>
      </c>
      <c r="U149" s="5">
        <f t="shared" si="94"/>
        <v>15</v>
      </c>
      <c r="V149" s="5">
        <f t="shared" si="80"/>
        <v>15</v>
      </c>
      <c r="X149" s="5">
        <f t="shared" si="81"/>
        <v>15</v>
      </c>
      <c r="Z149" s="5" t="s">
        <v>908</v>
      </c>
      <c r="AB149" s="5">
        <f>VLOOKUP(AG149,Enchantments!$E$8:$G$36,3,FALSE)</f>
        <v>30</v>
      </c>
      <c r="AD149" s="6" t="s">
        <v>94</v>
      </c>
      <c r="AE149" s="4" t="s">
        <v>705</v>
      </c>
      <c r="AG149" s="4" t="s">
        <v>513</v>
      </c>
      <c r="AH149" s="4" t="b">
        <f t="shared" si="82"/>
        <v>1</v>
      </c>
      <c r="AI149" s="4" t="s">
        <v>1009</v>
      </c>
      <c r="AJ149" s="4" t="s">
        <v>1011</v>
      </c>
      <c r="AK149" s="4" t="s">
        <v>1019</v>
      </c>
      <c r="AL149" s="4" t="s">
        <v>1022</v>
      </c>
      <c r="AM149" s="4" t="s">
        <v>1048</v>
      </c>
      <c r="AO149" s="4">
        <f>COUNTIF(SpellbooksOwned!$D$2:$K$49,$A149)</f>
        <v>5</v>
      </c>
      <c r="AP149" s="4">
        <f>IF(ISBLANK(AI149),0,VLOOKUP(AI149,SpellbooksOwned!$A$1:$B$49,2,FALSE))</f>
        <v>1</v>
      </c>
      <c r="AQ149" s="4">
        <f>IF(ISBLANK(AJ149),0,VLOOKUP(AJ149,SpellbooksOwned!$A$1:$B$49,2,FALSE))</f>
        <v>0</v>
      </c>
      <c r="AR149" s="4">
        <f>IF(ISBLANK(AK149),0,VLOOKUP(AK149,SpellbooksOwned!$A$1:$B$49,2,FALSE))</f>
        <v>0</v>
      </c>
      <c r="AS149" s="4">
        <f>IF(ISBLANK(AL149),0,VLOOKUP(AL149,SpellbooksOwned!$A$1:$B$49,2,FALSE))</f>
        <v>1</v>
      </c>
      <c r="AT149" s="4">
        <f>IF(ISBLANK(AM149),0,VLOOKUP(AM149,SpellbooksOwned!$A$1:$B$49,2,FALSE))</f>
        <v>1</v>
      </c>
      <c r="AU149" s="4">
        <f>IF(ISBLANK(AN149),0,VLOOKUP(AN149,SpellbooksOwned!$A$1:$B$49,2,FALSE))</f>
        <v>0</v>
      </c>
      <c r="AV149" s="4">
        <f t="shared" si="83"/>
        <v>-31</v>
      </c>
      <c r="AW149" s="26">
        <f t="shared" si="84"/>
        <v>18</v>
      </c>
      <c r="AX149" s="29">
        <f t="shared" si="71"/>
        <v>0.025587989795647026</v>
      </c>
      <c r="AY149" s="4" t="str">
        <f t="shared" si="85"/>
        <v>Great</v>
      </c>
      <c r="AZ149" s="4"/>
    </row>
    <row r="150" spans="1:52" ht="12.75">
      <c r="A150" s="4" t="s">
        <v>565</v>
      </c>
      <c r="B150" s="4">
        <v>7</v>
      </c>
      <c r="C150" s="4" t="s">
        <v>371</v>
      </c>
      <c r="D150" s="4" t="s">
        <v>477</v>
      </c>
      <c r="F150" s="4">
        <f t="shared" si="72"/>
        <v>1</v>
      </c>
      <c r="G150" s="4">
        <f t="shared" si="73"/>
        <v>1</v>
      </c>
      <c r="H150" s="4">
        <f t="shared" si="74"/>
      </c>
      <c r="I150" s="4">
        <f t="shared" si="75"/>
        <v>11</v>
      </c>
      <c r="J150" s="4">
        <f t="shared" si="76"/>
        <v>0</v>
      </c>
      <c r="K150" s="4">
        <f t="shared" si="77"/>
        <v>0</v>
      </c>
      <c r="L150" s="4">
        <f t="shared" si="86"/>
      </c>
      <c r="M150" s="4">
        <f t="shared" si="87"/>
        <v>0</v>
      </c>
      <c r="N150" s="4">
        <f t="shared" si="88"/>
      </c>
      <c r="O150" s="4">
        <f t="shared" si="89"/>
        <v>0</v>
      </c>
      <c r="P150" s="4">
        <f t="shared" si="78"/>
      </c>
      <c r="Q150" s="4">
        <f t="shared" si="90"/>
        <v>0</v>
      </c>
      <c r="R150" s="4">
        <f t="shared" si="79"/>
      </c>
      <c r="S150" s="4">
        <f t="shared" si="91"/>
        <v>0</v>
      </c>
      <c r="T150" s="4">
        <f t="shared" si="92"/>
        <v>1</v>
      </c>
      <c r="U150" s="5">
        <f t="shared" si="94"/>
        <v>15</v>
      </c>
      <c r="V150" s="5">
        <f t="shared" si="80"/>
        <v>15</v>
      </c>
      <c r="X150" s="5">
        <f t="shared" si="81"/>
        <v>15</v>
      </c>
      <c r="Z150" s="5" t="s">
        <v>908</v>
      </c>
      <c r="AB150" s="5">
        <f>VLOOKUP(AG150,Enchantments!$E$8:$G$36,3,FALSE)</f>
        <v>90</v>
      </c>
      <c r="AC150" s="5">
        <f>MIN(1,6*2/X150)</f>
        <v>0.8</v>
      </c>
      <c r="AD150" s="6" t="s">
        <v>532</v>
      </c>
      <c r="AE150" s="4" t="s">
        <v>730</v>
      </c>
      <c r="AG150" s="4" t="s">
        <v>515</v>
      </c>
      <c r="AH150" s="4" t="b">
        <f t="shared" si="82"/>
        <v>0</v>
      </c>
      <c r="AI150" s="4" t="s">
        <v>38</v>
      </c>
      <c r="AJ150" s="4" t="s">
        <v>622</v>
      </c>
      <c r="AO150" s="4">
        <f>COUNTIF(SpellbooksOwned!$D$2:$K$49,$A150)</f>
        <v>2</v>
      </c>
      <c r="AP150" s="4">
        <f>IF(ISBLANK(AI150),0,VLOOKUP(AI150,SpellbooksOwned!$A$1:$B$49,2,FALSE))</f>
        <v>0</v>
      </c>
      <c r="AQ150" s="4">
        <f>IF(ISBLANK(AJ150),0,VLOOKUP(AJ150,SpellbooksOwned!$A$1:$B$49,2,FALSE))</f>
        <v>0</v>
      </c>
      <c r="AR150" s="4">
        <f>IF(ISBLANK(AK150),0,VLOOKUP(AK150,SpellbooksOwned!$A$1:$B$49,2,FALSE))</f>
        <v>0</v>
      </c>
      <c r="AS150" s="4">
        <f>IF(ISBLANK(AL150),0,VLOOKUP(AL150,SpellbooksOwned!$A$1:$B$49,2,FALSE))</f>
        <v>0</v>
      </c>
      <c r="AT150" s="4">
        <f>IF(ISBLANK(AM150),0,VLOOKUP(AM150,SpellbooksOwned!$A$1:$B$49,2,FALSE))</f>
        <v>0</v>
      </c>
      <c r="AU150" s="4">
        <f>IF(ISBLANK(AN150),0,VLOOKUP(AN150,SpellbooksOwned!$A$1:$B$49,2,FALSE))</f>
        <v>0</v>
      </c>
      <c r="AV150" s="4">
        <f t="shared" si="83"/>
        <v>166</v>
      </c>
      <c r="AW150" s="26">
        <f t="shared" si="84"/>
        <v>100</v>
      </c>
      <c r="AX150" s="29">
        <f t="shared" si="71"/>
        <v>0.9985109323648599</v>
      </c>
      <c r="AY150" s="4" t="str">
        <f t="shared" si="85"/>
        <v>Useless</v>
      </c>
      <c r="AZ150" s="4"/>
    </row>
    <row r="151" spans="1:52" ht="12.75">
      <c r="A151" s="4" t="s">
        <v>566</v>
      </c>
      <c r="B151" s="4">
        <v>2</v>
      </c>
      <c r="C151" s="4" t="s">
        <v>359</v>
      </c>
      <c r="F151" s="4">
        <f t="shared" si="72"/>
        <v>1</v>
      </c>
      <c r="G151" s="4">
        <f t="shared" si="73"/>
      </c>
      <c r="H151" s="4">
        <f t="shared" si="74"/>
      </c>
      <c r="I151" s="4">
        <f t="shared" si="75"/>
        <v>11</v>
      </c>
      <c r="J151" s="4">
        <f t="shared" si="76"/>
        <v>0</v>
      </c>
      <c r="K151" s="4">
        <f t="shared" si="77"/>
      </c>
      <c r="L151" s="4">
        <f t="shared" si="86"/>
      </c>
      <c r="M151" s="4">
        <f t="shared" si="87"/>
        <v>0</v>
      </c>
      <c r="N151" s="4">
        <f t="shared" si="88"/>
      </c>
      <c r="O151" s="4">
        <f t="shared" si="89"/>
        <v>0</v>
      </c>
      <c r="P151" s="4">
        <f t="shared" si="78"/>
      </c>
      <c r="Q151" s="4">
        <f t="shared" si="90"/>
        <v>0</v>
      </c>
      <c r="R151" s="4">
        <f t="shared" si="79"/>
      </c>
      <c r="S151" s="4">
        <f t="shared" si="91"/>
        <v>0</v>
      </c>
      <c r="T151" s="4">
        <f t="shared" si="92"/>
        <v>1</v>
      </c>
      <c r="U151" s="5">
        <f t="shared" si="94"/>
        <v>15</v>
      </c>
      <c r="V151" s="5">
        <f t="shared" si="80"/>
        <v>15</v>
      </c>
      <c r="X151" s="5">
        <f t="shared" si="81"/>
        <v>15</v>
      </c>
      <c r="Z151" s="5" t="s">
        <v>64</v>
      </c>
      <c r="AB151" s="5">
        <f>MIN(25,8+INT(INT((X151+1)/2)/10))</f>
        <v>8</v>
      </c>
      <c r="AD151" s="6" t="s">
        <v>538</v>
      </c>
      <c r="AE151" s="4" t="s">
        <v>855</v>
      </c>
      <c r="AH151" s="4" t="b">
        <f t="shared" si="82"/>
        <v>1</v>
      </c>
      <c r="AI151" s="4" t="s">
        <v>658</v>
      </c>
      <c r="AJ151" s="4" t="s">
        <v>1102</v>
      </c>
      <c r="AO151" s="4">
        <f>COUNTIF(SpellbooksOwned!$D$2:$K$49,$A151)</f>
        <v>2</v>
      </c>
      <c r="AP151" s="4">
        <f>IF(ISBLANK(AI151),0,VLOOKUP(AI151,SpellbooksOwned!$A$1:$B$49,2,FALSE))</f>
        <v>0</v>
      </c>
      <c r="AQ151" s="4">
        <f>IF(ISBLANK(AJ151),0,VLOOKUP(AJ151,SpellbooksOwned!$A$1:$B$49,2,FALSE))</f>
        <v>1</v>
      </c>
      <c r="AR151" s="4">
        <f>IF(ISBLANK(AK151),0,VLOOKUP(AK151,SpellbooksOwned!$A$1:$B$49,2,FALSE))</f>
        <v>0</v>
      </c>
      <c r="AS151" s="4">
        <f>IF(ISBLANK(AL151),0,VLOOKUP(AL151,SpellbooksOwned!$A$1:$B$49,2,FALSE))</f>
        <v>0</v>
      </c>
      <c r="AT151" s="4">
        <f>IF(ISBLANK(AM151),0,VLOOKUP(AM151,SpellbooksOwned!$A$1:$B$49,2,FALSE))</f>
        <v>0</v>
      </c>
      <c r="AU151" s="4">
        <f>IF(ISBLANK(AN151),0,VLOOKUP(AN151,SpellbooksOwned!$A$1:$B$49,2,FALSE))</f>
        <v>0</v>
      </c>
      <c r="AV151" s="4">
        <f t="shared" si="83"/>
        <v>-19</v>
      </c>
      <c r="AW151" s="26">
        <f t="shared" si="84"/>
        <v>22</v>
      </c>
      <c r="AX151" s="29">
        <f t="shared" si="71"/>
        <v>0.043632902942498775</v>
      </c>
      <c r="AY151" s="4" t="str">
        <f t="shared" si="85"/>
        <v>Very Good</v>
      </c>
      <c r="AZ151" s="4"/>
    </row>
    <row r="152" spans="1:52" ht="12.75">
      <c r="A152" s="4" t="s">
        <v>567</v>
      </c>
      <c r="B152" s="4">
        <v>2</v>
      </c>
      <c r="C152" s="4" t="s">
        <v>374</v>
      </c>
      <c r="D152" s="4" t="s">
        <v>359</v>
      </c>
      <c r="F152" s="4">
        <f t="shared" si="72"/>
        <v>1</v>
      </c>
      <c r="G152" s="4">
        <f t="shared" si="73"/>
        <v>1</v>
      </c>
      <c r="H152" s="4">
        <f t="shared" si="74"/>
      </c>
      <c r="I152" s="4">
        <f t="shared" si="75"/>
        <v>11</v>
      </c>
      <c r="J152" s="4">
        <f t="shared" si="76"/>
        <v>0</v>
      </c>
      <c r="K152" s="4">
        <f t="shared" si="77"/>
        <v>0</v>
      </c>
      <c r="L152" s="4">
        <f t="shared" si="86"/>
      </c>
      <c r="M152" s="4" t="str">
        <f t="shared" si="87"/>
        <v>Earth</v>
      </c>
      <c r="N152" s="4">
        <f t="shared" si="88"/>
        <v>0</v>
      </c>
      <c r="O152" s="4">
        <f t="shared" si="89"/>
        <v>0</v>
      </c>
      <c r="P152" s="4">
        <f t="shared" si="78"/>
      </c>
      <c r="Q152" s="4">
        <f t="shared" si="90"/>
        <v>0</v>
      </c>
      <c r="R152" s="4">
        <f t="shared" si="79"/>
      </c>
      <c r="S152" s="4">
        <f t="shared" si="91"/>
        <v>0</v>
      </c>
      <c r="T152" s="4">
        <f t="shared" si="92"/>
        <v>1</v>
      </c>
      <c r="U152" s="5">
        <f t="shared" si="94"/>
        <v>15</v>
      </c>
      <c r="V152" s="5">
        <f t="shared" si="80"/>
        <v>15</v>
      </c>
      <c r="X152" s="5">
        <f t="shared" si="81"/>
        <v>15</v>
      </c>
      <c r="Z152" s="5" t="s">
        <v>64</v>
      </c>
      <c r="AB152" s="5">
        <f>MIN(100,20+INT((X152+1)/2))-0.5</f>
        <v>27.5</v>
      </c>
      <c r="AD152" s="6" t="s">
        <v>350</v>
      </c>
      <c r="AE152" s="4" t="s">
        <v>826</v>
      </c>
      <c r="AH152" s="4" t="b">
        <f t="shared" si="82"/>
        <v>0</v>
      </c>
      <c r="AI152" s="4" t="s">
        <v>374</v>
      </c>
      <c r="AO152" s="4">
        <f>COUNTIF(SpellbooksOwned!$D$2:$K$49,$A152)</f>
        <v>1</v>
      </c>
      <c r="AP152" s="4">
        <f>IF(ISBLANK(AI152),0,VLOOKUP(AI152,SpellbooksOwned!$A$1:$B$49,2,FALSE))</f>
        <v>0</v>
      </c>
      <c r="AQ152" s="4">
        <f>IF(ISBLANK(AJ152),0,VLOOKUP(AJ152,SpellbooksOwned!$A$1:$B$49,2,FALSE))</f>
        <v>0</v>
      </c>
      <c r="AR152" s="4">
        <f>IF(ISBLANK(AK152),0,VLOOKUP(AK152,SpellbooksOwned!$A$1:$B$49,2,FALSE))</f>
        <v>0</v>
      </c>
      <c r="AS152" s="4">
        <f>IF(ISBLANK(AL152),0,VLOOKUP(AL152,SpellbooksOwned!$A$1:$B$49,2,FALSE))</f>
        <v>0</v>
      </c>
      <c r="AT152" s="4">
        <f>IF(ISBLANK(AM152),0,VLOOKUP(AM152,SpellbooksOwned!$A$1:$B$49,2,FALSE))</f>
        <v>0</v>
      </c>
      <c r="AU152" s="4">
        <f>IF(ISBLANK(AN152),0,VLOOKUP(AN152,SpellbooksOwned!$A$1:$B$49,2,FALSE))</f>
        <v>0</v>
      </c>
      <c r="AV152" s="4">
        <f t="shared" si="83"/>
        <v>-19</v>
      </c>
      <c r="AW152" s="26">
        <f t="shared" si="84"/>
        <v>22</v>
      </c>
      <c r="AX152" s="29">
        <f t="shared" si="71"/>
        <v>0.043632902942498775</v>
      </c>
      <c r="AY152" s="4" t="str">
        <f t="shared" si="85"/>
        <v>Very Good</v>
      </c>
      <c r="AZ152" s="4"/>
    </row>
    <row r="153" spans="1:52" ht="12.75">
      <c r="A153" s="4" t="s">
        <v>568</v>
      </c>
      <c r="B153" s="4">
        <v>6</v>
      </c>
      <c r="C153" s="4" t="s">
        <v>371</v>
      </c>
      <c r="F153" s="4">
        <f t="shared" si="72"/>
        <v>1</v>
      </c>
      <c r="G153" s="4">
        <f t="shared" si="73"/>
      </c>
      <c r="H153" s="4">
        <f t="shared" si="74"/>
      </c>
      <c r="I153" s="4">
        <f t="shared" si="75"/>
        <v>11</v>
      </c>
      <c r="J153" s="4">
        <f t="shared" si="76"/>
        <v>0</v>
      </c>
      <c r="K153" s="4">
        <f t="shared" si="77"/>
      </c>
      <c r="L153" s="4">
        <f t="shared" si="86"/>
      </c>
      <c r="M153" s="4">
        <f t="shared" si="87"/>
        <v>0</v>
      </c>
      <c r="N153" s="4">
        <f t="shared" si="88"/>
      </c>
      <c r="O153" s="4">
        <f t="shared" si="89"/>
        <v>0</v>
      </c>
      <c r="P153" s="4">
        <f t="shared" si="78"/>
      </c>
      <c r="Q153" s="4">
        <f t="shared" si="90"/>
        <v>0</v>
      </c>
      <c r="R153" s="4">
        <f t="shared" si="79"/>
      </c>
      <c r="S153" s="4">
        <f t="shared" si="91"/>
        <v>0</v>
      </c>
      <c r="T153" s="4">
        <f t="shared" si="92"/>
        <v>1</v>
      </c>
      <c r="U153" s="5">
        <f t="shared" si="94"/>
        <v>15</v>
      </c>
      <c r="V153" s="5">
        <f t="shared" si="80"/>
        <v>15</v>
      </c>
      <c r="X153" s="5">
        <f t="shared" si="81"/>
        <v>15</v>
      </c>
      <c r="Z153" s="5">
        <v>8</v>
      </c>
      <c r="AB153" s="5">
        <v>1</v>
      </c>
      <c r="AD153" s="6" t="s">
        <v>539</v>
      </c>
      <c r="AE153" s="4" t="s">
        <v>811</v>
      </c>
      <c r="AH153" s="4" t="b">
        <f t="shared" si="82"/>
        <v>0</v>
      </c>
      <c r="AI153" s="4" t="s">
        <v>622</v>
      </c>
      <c r="AO153" s="4">
        <f>COUNTIF(SpellbooksOwned!$D$2:$K$49,$A153)</f>
        <v>1</v>
      </c>
      <c r="AP153" s="4">
        <f>IF(ISBLANK(AI153),0,VLOOKUP(AI153,SpellbooksOwned!$A$1:$B$49,2,FALSE))</f>
        <v>0</v>
      </c>
      <c r="AQ153" s="4">
        <f>IF(ISBLANK(AJ153),0,VLOOKUP(AJ153,SpellbooksOwned!$A$1:$B$49,2,FALSE))</f>
        <v>0</v>
      </c>
      <c r="AR153" s="4">
        <f>IF(ISBLANK(AK153),0,VLOOKUP(AK153,SpellbooksOwned!$A$1:$B$49,2,FALSE))</f>
        <v>0</v>
      </c>
      <c r="AS153" s="4">
        <f>IF(ISBLANK(AL153),0,VLOOKUP(AL153,SpellbooksOwned!$A$1:$B$49,2,FALSE))</f>
        <v>0</v>
      </c>
      <c r="AT153" s="4">
        <f>IF(ISBLANK(AM153),0,VLOOKUP(AM153,SpellbooksOwned!$A$1:$B$49,2,FALSE))</f>
        <v>0</v>
      </c>
      <c r="AU153" s="4">
        <f>IF(ISBLANK(AN153),0,VLOOKUP(AN153,SpellbooksOwned!$A$1:$B$49,2,FALSE))</f>
        <v>0</v>
      </c>
      <c r="AV153" s="4">
        <f t="shared" si="83"/>
        <v>116</v>
      </c>
      <c r="AW153" s="26">
        <f t="shared" si="84"/>
        <v>100</v>
      </c>
      <c r="AX153" s="29">
        <f t="shared" si="71"/>
        <v>0.9985109323648599</v>
      </c>
      <c r="AY153" s="4" t="str">
        <f t="shared" si="85"/>
        <v>Useless</v>
      </c>
      <c r="AZ153" s="4"/>
    </row>
    <row r="154" spans="1:52" ht="12.75">
      <c r="A154" s="4" t="s">
        <v>569</v>
      </c>
      <c r="B154" s="4">
        <v>5</v>
      </c>
      <c r="C154" s="4" t="s">
        <v>359</v>
      </c>
      <c r="F154" s="4">
        <f t="shared" si="72"/>
        <v>1</v>
      </c>
      <c r="G154" s="4">
        <f t="shared" si="73"/>
      </c>
      <c r="H154" s="4">
        <f t="shared" si="74"/>
      </c>
      <c r="I154" s="4">
        <f t="shared" si="75"/>
        <v>11</v>
      </c>
      <c r="J154" s="4">
        <f t="shared" si="76"/>
        <v>0</v>
      </c>
      <c r="K154" s="4">
        <f t="shared" si="77"/>
      </c>
      <c r="L154" s="4">
        <f t="shared" si="86"/>
      </c>
      <c r="M154" s="4">
        <f t="shared" si="87"/>
        <v>0</v>
      </c>
      <c r="N154" s="4">
        <f t="shared" si="88"/>
      </c>
      <c r="O154" s="4">
        <f t="shared" si="89"/>
        <v>0</v>
      </c>
      <c r="P154" s="4">
        <f t="shared" si="78"/>
      </c>
      <c r="Q154" s="4">
        <f t="shared" si="90"/>
        <v>0</v>
      </c>
      <c r="R154" s="4">
        <f t="shared" si="79"/>
      </c>
      <c r="S154" s="4">
        <f t="shared" si="91"/>
        <v>0</v>
      </c>
      <c r="T154" s="4">
        <f t="shared" si="92"/>
        <v>1</v>
      </c>
      <c r="U154" s="5">
        <f t="shared" si="94"/>
        <v>15</v>
      </c>
      <c r="V154" s="5">
        <f t="shared" si="80"/>
        <v>15</v>
      </c>
      <c r="X154" s="5">
        <f t="shared" si="81"/>
        <v>15</v>
      </c>
      <c r="Z154" s="5" t="s">
        <v>59</v>
      </c>
      <c r="AB154" s="5">
        <f>VLOOKUP(AG154,Enchantments!$E$8:$G$36,3,FALSE)</f>
        <v>25</v>
      </c>
      <c r="AD154" s="6" t="s">
        <v>316</v>
      </c>
      <c r="AE154" s="4" t="s">
        <v>851</v>
      </c>
      <c r="AG154" s="4" t="s">
        <v>321</v>
      </c>
      <c r="AH154" s="4" t="b">
        <f t="shared" si="82"/>
        <v>1</v>
      </c>
      <c r="AI154" s="4" t="s">
        <v>1020</v>
      </c>
      <c r="AJ154" s="4" t="s">
        <v>1048</v>
      </c>
      <c r="AO154" s="4">
        <f>COUNTIF(SpellbooksOwned!$D$2:$K$49,$A154)</f>
        <v>2</v>
      </c>
      <c r="AP154" s="4">
        <f>IF(ISBLANK(AI154),0,VLOOKUP(AI154,SpellbooksOwned!$A$1:$B$49,2,FALSE))</f>
        <v>0</v>
      </c>
      <c r="AQ154" s="4">
        <f>IF(ISBLANK(AJ154),0,VLOOKUP(AJ154,SpellbooksOwned!$A$1:$B$49,2,FALSE))</f>
        <v>1</v>
      </c>
      <c r="AR154" s="4">
        <f>IF(ISBLANK(AK154),0,VLOOKUP(AK154,SpellbooksOwned!$A$1:$B$49,2,FALSE))</f>
        <v>0</v>
      </c>
      <c r="AS154" s="4">
        <f>IF(ISBLANK(AL154),0,VLOOKUP(AL154,SpellbooksOwned!$A$1:$B$49,2,FALSE))</f>
        <v>0</v>
      </c>
      <c r="AT154" s="4">
        <f>IF(ISBLANK(AM154),0,VLOOKUP(AM154,SpellbooksOwned!$A$1:$B$49,2,FALSE))</f>
        <v>0</v>
      </c>
      <c r="AU154" s="4">
        <f>IF(ISBLANK(AN154),0,VLOOKUP(AN154,SpellbooksOwned!$A$1:$B$49,2,FALSE))</f>
        <v>0</v>
      </c>
      <c r="AV154" s="4">
        <f t="shared" si="83"/>
        <v>66</v>
      </c>
      <c r="AW154" s="26">
        <f t="shared" si="84"/>
        <v>66</v>
      </c>
      <c r="AX154" s="29">
        <f t="shared" si="71"/>
        <v>0.8238144797733274</v>
      </c>
      <c r="AY154" s="4" t="str">
        <f t="shared" si="85"/>
        <v>Very Poor</v>
      </c>
      <c r="AZ154" s="4"/>
    </row>
    <row r="155" spans="1:52" ht="12.75">
      <c r="A155" s="4" t="s">
        <v>570</v>
      </c>
      <c r="B155" s="4">
        <v>4</v>
      </c>
      <c r="C155" s="4" t="s">
        <v>391</v>
      </c>
      <c r="F155" s="4">
        <f t="shared" si="72"/>
        <v>1</v>
      </c>
      <c r="G155" s="4">
        <f t="shared" si="73"/>
      </c>
      <c r="H155" s="4">
        <f t="shared" si="74"/>
      </c>
      <c r="I155" s="4">
        <f t="shared" si="75"/>
        <v>11</v>
      </c>
      <c r="J155" s="4">
        <f t="shared" si="76"/>
        <v>0</v>
      </c>
      <c r="K155" s="4">
        <f t="shared" si="77"/>
      </c>
      <c r="L155" s="4">
        <f t="shared" si="86"/>
      </c>
      <c r="M155" s="4">
        <f t="shared" si="87"/>
        <v>0</v>
      </c>
      <c r="N155" s="4">
        <f t="shared" si="88"/>
      </c>
      <c r="O155" s="4">
        <f t="shared" si="89"/>
        <v>0</v>
      </c>
      <c r="P155" s="4">
        <f t="shared" si="78"/>
      </c>
      <c r="Q155" s="4">
        <f t="shared" si="90"/>
        <v>0</v>
      </c>
      <c r="R155" s="4">
        <f t="shared" si="79"/>
      </c>
      <c r="S155" s="4">
        <f t="shared" si="91"/>
        <v>0</v>
      </c>
      <c r="T155" s="4">
        <f t="shared" si="92"/>
        <v>1</v>
      </c>
      <c r="U155" s="5">
        <f t="shared" si="94"/>
        <v>15</v>
      </c>
      <c r="V155" s="5">
        <f t="shared" si="80"/>
        <v>15</v>
      </c>
      <c r="X155" s="5">
        <f t="shared" si="81"/>
        <v>15</v>
      </c>
      <c r="Z155" s="5" t="s">
        <v>931</v>
      </c>
      <c r="AB155" s="5">
        <v>1</v>
      </c>
      <c r="AC155" s="5">
        <f>INT(X155*1.5)</f>
        <v>22</v>
      </c>
      <c r="AD155" s="6" t="s">
        <v>897</v>
      </c>
      <c r="AE155" s="4" t="s">
        <v>763</v>
      </c>
      <c r="AF155" s="4" t="s">
        <v>989</v>
      </c>
      <c r="AH155" s="4" t="b">
        <f t="shared" si="82"/>
        <v>1</v>
      </c>
      <c r="AI155" t="s">
        <v>702</v>
      </c>
      <c r="AJ155" t="s">
        <v>25</v>
      </c>
      <c r="AO155" s="4">
        <f>COUNTIF(SpellbooksOwned!$D$2:$K$49,$A155)</f>
        <v>2</v>
      </c>
      <c r="AP155" s="4">
        <f>IF(ISBLANK(AI155),0,VLOOKUP(AI155,SpellbooksOwned!$A$1:$B$49,2,FALSE))</f>
        <v>1</v>
      </c>
      <c r="AQ155" s="4">
        <f>IF(ISBLANK(AJ155),0,VLOOKUP(AJ155,SpellbooksOwned!$A$1:$B$49,2,FALSE))</f>
        <v>0</v>
      </c>
      <c r="AR155" s="4">
        <f>IF(ISBLANK(AK155),0,VLOOKUP(AK155,SpellbooksOwned!$A$1:$B$49,2,FALSE))</f>
        <v>0</v>
      </c>
      <c r="AS155" s="4">
        <f>IF(ISBLANK(AL155),0,VLOOKUP(AL155,SpellbooksOwned!$A$1:$B$49,2,FALSE))</f>
        <v>0</v>
      </c>
      <c r="AT155" s="4">
        <f>IF(ISBLANK(AM155),0,VLOOKUP(AM155,SpellbooksOwned!$A$1:$B$49,2,FALSE))</f>
        <v>0</v>
      </c>
      <c r="AU155" s="4">
        <f>IF(ISBLANK(AN155),0,VLOOKUP(AN155,SpellbooksOwned!$A$1:$B$49,2,FALSE))</f>
        <v>0</v>
      </c>
      <c r="AV155" s="4">
        <f t="shared" si="83"/>
        <v>36</v>
      </c>
      <c r="AW155" s="26">
        <f t="shared" si="84"/>
        <v>41</v>
      </c>
      <c r="AX155" s="29">
        <f t="shared" si="71"/>
        <v>0.28433880816463963</v>
      </c>
      <c r="AY155" s="4" t="str">
        <f t="shared" si="85"/>
        <v>Fair</v>
      </c>
      <c r="AZ155" s="4"/>
    </row>
    <row r="156" spans="1:52" ht="12.75">
      <c r="A156" s="4" t="s">
        <v>571</v>
      </c>
      <c r="B156" s="4">
        <v>5</v>
      </c>
      <c r="C156" s="4" t="s">
        <v>391</v>
      </c>
      <c r="F156" s="4">
        <f t="shared" si="72"/>
        <v>1</v>
      </c>
      <c r="G156" s="4">
        <f t="shared" si="73"/>
      </c>
      <c r="H156" s="4">
        <f t="shared" si="74"/>
      </c>
      <c r="I156" s="4">
        <f t="shared" si="75"/>
        <v>11</v>
      </c>
      <c r="J156" s="4">
        <f t="shared" si="76"/>
        <v>0</v>
      </c>
      <c r="K156" s="4">
        <f t="shared" si="77"/>
      </c>
      <c r="L156" s="4">
        <f t="shared" si="86"/>
      </c>
      <c r="M156" s="4">
        <f t="shared" si="87"/>
        <v>0</v>
      </c>
      <c r="N156" s="4">
        <f t="shared" si="88"/>
      </c>
      <c r="O156" s="4">
        <f t="shared" si="89"/>
        <v>0</v>
      </c>
      <c r="P156" s="4">
        <f t="shared" si="78"/>
      </c>
      <c r="Q156" s="4">
        <f t="shared" si="90"/>
        <v>0</v>
      </c>
      <c r="R156" s="4">
        <f t="shared" si="79"/>
      </c>
      <c r="S156" s="4">
        <f t="shared" si="91"/>
        <v>0</v>
      </c>
      <c r="T156" s="4">
        <f t="shared" si="92"/>
        <v>1</v>
      </c>
      <c r="U156" s="5">
        <f t="shared" si="94"/>
        <v>15</v>
      </c>
      <c r="V156" s="5">
        <f t="shared" si="80"/>
        <v>15</v>
      </c>
      <c r="X156" s="5">
        <f t="shared" si="81"/>
        <v>15</v>
      </c>
      <c r="Z156" s="5" t="s">
        <v>64</v>
      </c>
      <c r="AB156" s="5">
        <f>(3+5)/2</f>
        <v>4</v>
      </c>
      <c r="AD156" s="6" t="s">
        <v>902</v>
      </c>
      <c r="AE156" s="4" t="s">
        <v>764</v>
      </c>
      <c r="AH156" s="4" t="b">
        <f t="shared" si="82"/>
        <v>1</v>
      </c>
      <c r="AI156" s="4" t="s">
        <v>25</v>
      </c>
      <c r="AJ156" s="4" t="s">
        <v>1021</v>
      </c>
      <c r="AO156" s="4">
        <f>COUNTIF(SpellbooksOwned!$D$2:$K$49,$A156)</f>
        <v>2</v>
      </c>
      <c r="AP156" s="4">
        <f>IF(ISBLANK(AI156),0,VLOOKUP(AI156,SpellbooksOwned!$A$1:$B$49,2,FALSE))</f>
        <v>0</v>
      </c>
      <c r="AQ156" s="4">
        <f>IF(ISBLANK(AJ156),0,VLOOKUP(AJ156,SpellbooksOwned!$A$1:$B$49,2,FALSE))</f>
        <v>1</v>
      </c>
      <c r="AR156" s="4">
        <f>IF(ISBLANK(AK156),0,VLOOKUP(AK156,SpellbooksOwned!$A$1:$B$49,2,FALSE))</f>
        <v>0</v>
      </c>
      <c r="AS156" s="4">
        <f>IF(ISBLANK(AL156),0,VLOOKUP(AL156,SpellbooksOwned!$A$1:$B$49,2,FALSE))</f>
        <v>0</v>
      </c>
      <c r="AT156" s="4">
        <f>IF(ISBLANK(AM156),0,VLOOKUP(AM156,SpellbooksOwned!$A$1:$B$49,2,FALSE))</f>
        <v>0</v>
      </c>
      <c r="AU156" s="4">
        <f>IF(ISBLANK(AN156),0,VLOOKUP(AN156,SpellbooksOwned!$A$1:$B$49,2,FALSE))</f>
        <v>0</v>
      </c>
      <c r="AV156" s="4">
        <f t="shared" si="83"/>
        <v>66</v>
      </c>
      <c r="AW156" s="26">
        <f t="shared" si="84"/>
        <v>66</v>
      </c>
      <c r="AX156" s="29">
        <f t="shared" si="71"/>
        <v>0.8238144797733274</v>
      </c>
      <c r="AY156" s="4" t="str">
        <f t="shared" si="85"/>
        <v>Very Poor</v>
      </c>
      <c r="AZ156" s="4"/>
    </row>
    <row r="157" spans="1:52" ht="12.75">
      <c r="A157" s="4" t="s">
        <v>572</v>
      </c>
      <c r="B157" s="4">
        <v>2</v>
      </c>
      <c r="C157" s="4" t="s">
        <v>361</v>
      </c>
      <c r="D157" s="4" t="s">
        <v>364</v>
      </c>
      <c r="F157" s="4">
        <f t="shared" si="72"/>
        <v>1</v>
      </c>
      <c r="G157" s="4">
        <f t="shared" si="73"/>
        <v>1</v>
      </c>
      <c r="H157" s="4">
        <f t="shared" si="74"/>
      </c>
      <c r="I157" s="4">
        <f t="shared" si="75"/>
        <v>11</v>
      </c>
      <c r="J157" s="4">
        <f t="shared" si="76"/>
        <v>0</v>
      </c>
      <c r="K157" s="4">
        <f t="shared" si="77"/>
        <v>0</v>
      </c>
      <c r="L157" s="4">
        <f t="shared" si="86"/>
      </c>
      <c r="M157" s="4">
        <f t="shared" si="87"/>
        <v>0</v>
      </c>
      <c r="N157" s="4">
        <f t="shared" si="88"/>
      </c>
      <c r="O157" s="4" t="str">
        <f t="shared" si="89"/>
        <v>Ice</v>
      </c>
      <c r="P157" s="4">
        <f t="shared" si="78"/>
        <v>0</v>
      </c>
      <c r="Q157" s="4">
        <f t="shared" si="90"/>
        <v>0</v>
      </c>
      <c r="R157" s="4">
        <f t="shared" si="79"/>
      </c>
      <c r="S157" s="4">
        <f t="shared" si="91"/>
        <v>0</v>
      </c>
      <c r="T157" s="4">
        <f t="shared" si="92"/>
        <v>1</v>
      </c>
      <c r="U157" s="5">
        <f t="shared" si="94"/>
        <v>15</v>
      </c>
      <c r="V157" s="5">
        <f t="shared" si="80"/>
        <v>15</v>
      </c>
      <c r="W157" s="5">
        <v>50</v>
      </c>
      <c r="X157" s="5">
        <f t="shared" si="81"/>
        <v>15</v>
      </c>
      <c r="Y157" s="6">
        <f>2*(4+INT(X157/10)+1)/2</f>
        <v>6</v>
      </c>
      <c r="Z157" s="5" t="s">
        <v>933</v>
      </c>
      <c r="AA157" s="5">
        <f>8+INT(X157/10)</f>
        <v>9</v>
      </c>
      <c r="AB157" s="5">
        <v>1</v>
      </c>
      <c r="AE157" s="4" t="s">
        <v>706</v>
      </c>
      <c r="AF157" s="4" t="s">
        <v>958</v>
      </c>
      <c r="AH157" s="4" t="b">
        <f t="shared" si="82"/>
        <v>1</v>
      </c>
      <c r="AI157" s="4" t="s">
        <v>1009</v>
      </c>
      <c r="AJ157" s="4" t="s">
        <v>1012</v>
      </c>
      <c r="AK157" s="4" t="s">
        <v>583</v>
      </c>
      <c r="AO157" s="4">
        <f>COUNTIF(SpellbooksOwned!$D$2:$K$49,$A157)</f>
        <v>3</v>
      </c>
      <c r="AP157" s="4">
        <f>IF(ISBLANK(AI157),0,VLOOKUP(AI157,SpellbooksOwned!$A$1:$B$49,2,FALSE))</f>
        <v>1</v>
      </c>
      <c r="AQ157" s="4">
        <f>IF(ISBLANK(AJ157),0,VLOOKUP(AJ157,SpellbooksOwned!$A$1:$B$49,2,FALSE))</f>
        <v>1</v>
      </c>
      <c r="AR157" s="4">
        <f>IF(ISBLANK(AK157),0,VLOOKUP(AK157,SpellbooksOwned!$A$1:$B$49,2,FALSE))</f>
        <v>0</v>
      </c>
      <c r="AS157" s="4">
        <f>IF(ISBLANK(AL157),0,VLOOKUP(AL157,SpellbooksOwned!$A$1:$B$49,2,FALSE))</f>
        <v>0</v>
      </c>
      <c r="AT157" s="4">
        <f>IF(ISBLANK(AM157),0,VLOOKUP(AM157,SpellbooksOwned!$A$1:$B$49,2,FALSE))</f>
        <v>0</v>
      </c>
      <c r="AU157" s="4">
        <f>IF(ISBLANK(AN157),0,VLOOKUP(AN157,SpellbooksOwned!$A$1:$B$49,2,FALSE))</f>
        <v>0</v>
      </c>
      <c r="AV157" s="4">
        <f t="shared" si="83"/>
        <v>-19</v>
      </c>
      <c r="AW157" s="26">
        <f t="shared" si="84"/>
        <v>22</v>
      </c>
      <c r="AX157" s="29">
        <f t="shared" si="71"/>
        <v>0.043632902942498775</v>
      </c>
      <c r="AY157" s="4" t="str">
        <f t="shared" si="85"/>
        <v>Very Good</v>
      </c>
      <c r="AZ157" s="4"/>
    </row>
    <row r="158" spans="1:52" ht="12.75">
      <c r="A158" s="4" t="s">
        <v>573</v>
      </c>
      <c r="B158" s="4">
        <v>2</v>
      </c>
      <c r="C158" s="4" t="s">
        <v>361</v>
      </c>
      <c r="D158" s="4" t="s">
        <v>367</v>
      </c>
      <c r="F158" s="4">
        <f t="shared" si="72"/>
        <v>1</v>
      </c>
      <c r="G158" s="4">
        <f t="shared" si="73"/>
        <v>1</v>
      </c>
      <c r="H158" s="4">
        <f t="shared" si="74"/>
      </c>
      <c r="I158" s="4">
        <f t="shared" si="75"/>
        <v>11</v>
      </c>
      <c r="J158" s="4">
        <f t="shared" si="76"/>
        <v>0</v>
      </c>
      <c r="K158" s="4">
        <f t="shared" si="77"/>
        <v>0</v>
      </c>
      <c r="L158" s="4">
        <f t="shared" si="86"/>
      </c>
      <c r="M158" s="4">
        <f t="shared" si="87"/>
        <v>0</v>
      </c>
      <c r="N158" s="4">
        <f t="shared" si="88"/>
      </c>
      <c r="O158" s="4" t="str">
        <f t="shared" si="89"/>
        <v>Fire</v>
      </c>
      <c r="P158" s="4">
        <f t="shared" si="78"/>
        <v>0</v>
      </c>
      <c r="Q158" s="4">
        <f t="shared" si="90"/>
        <v>0</v>
      </c>
      <c r="R158" s="4">
        <f t="shared" si="79"/>
      </c>
      <c r="S158" s="4">
        <f t="shared" si="91"/>
        <v>0</v>
      </c>
      <c r="T158" s="4">
        <f t="shared" si="92"/>
        <v>1</v>
      </c>
      <c r="U158" s="5">
        <f t="shared" si="94"/>
        <v>15</v>
      </c>
      <c r="V158" s="5">
        <f t="shared" si="80"/>
        <v>15</v>
      </c>
      <c r="W158" s="5">
        <v>50</v>
      </c>
      <c r="X158" s="5">
        <f t="shared" si="81"/>
        <v>15</v>
      </c>
      <c r="Y158" s="6">
        <f>2*(4+INT(X158/10)+1)/2</f>
        <v>6</v>
      </c>
      <c r="Z158" s="5" t="s">
        <v>933</v>
      </c>
      <c r="AA158" s="5">
        <f>8+INT(X158/10)</f>
        <v>9</v>
      </c>
      <c r="AB158" s="5">
        <v>1</v>
      </c>
      <c r="AE158" s="4" t="s">
        <v>711</v>
      </c>
      <c r="AF158" s="4" t="s">
        <v>959</v>
      </c>
      <c r="AH158" s="4" t="b">
        <f t="shared" si="82"/>
        <v>1</v>
      </c>
      <c r="AI158" s="4" t="s">
        <v>1010</v>
      </c>
      <c r="AJ158" s="4" t="s">
        <v>1013</v>
      </c>
      <c r="AK158" s="4" t="s">
        <v>587</v>
      </c>
      <c r="AO158" s="4">
        <f>COUNTIF(SpellbooksOwned!$D$2:$K$49,$A158)</f>
        <v>3</v>
      </c>
      <c r="AP158" s="4">
        <f>IF(ISBLANK(AI158),0,VLOOKUP(AI158,SpellbooksOwned!$A$1:$B$49,2,FALSE))</f>
        <v>1</v>
      </c>
      <c r="AQ158" s="4">
        <f>IF(ISBLANK(AJ158),0,VLOOKUP(AJ158,SpellbooksOwned!$A$1:$B$49,2,FALSE))</f>
        <v>1</v>
      </c>
      <c r="AR158" s="4">
        <f>IF(ISBLANK(AK158),0,VLOOKUP(AK158,SpellbooksOwned!$A$1:$B$49,2,FALSE))</f>
        <v>1</v>
      </c>
      <c r="AS158" s="4">
        <f>IF(ISBLANK(AL158),0,VLOOKUP(AL158,SpellbooksOwned!$A$1:$B$49,2,FALSE))</f>
        <v>0</v>
      </c>
      <c r="AT158" s="4">
        <f>IF(ISBLANK(AM158),0,VLOOKUP(AM158,SpellbooksOwned!$A$1:$B$49,2,FALSE))</f>
        <v>0</v>
      </c>
      <c r="AU158" s="4">
        <f>IF(ISBLANK(AN158),0,VLOOKUP(AN158,SpellbooksOwned!$A$1:$B$49,2,FALSE))</f>
        <v>0</v>
      </c>
      <c r="AV158" s="4">
        <f t="shared" si="83"/>
        <v>-19</v>
      </c>
      <c r="AW158" s="26">
        <f t="shared" si="84"/>
        <v>22</v>
      </c>
      <c r="AX158" s="29">
        <f t="shared" si="71"/>
        <v>0.043632902942498775</v>
      </c>
      <c r="AY158" s="4" t="str">
        <f t="shared" si="85"/>
        <v>Very Good</v>
      </c>
      <c r="AZ158" s="4"/>
    </row>
    <row r="159" spans="1:52" ht="12.75">
      <c r="A159" s="4" t="s">
        <v>886</v>
      </c>
      <c r="B159" s="4">
        <v>6</v>
      </c>
      <c r="C159" s="4" t="s">
        <v>374</v>
      </c>
      <c r="D159" s="4" t="s">
        <v>589</v>
      </c>
      <c r="F159" s="4">
        <f t="shared" si="72"/>
        <v>1</v>
      </c>
      <c r="G159" s="4">
        <f t="shared" si="73"/>
        <v>6</v>
      </c>
      <c r="H159" s="4">
        <f t="shared" si="74"/>
      </c>
      <c r="I159" s="4">
        <f t="shared" si="75"/>
        <v>16</v>
      </c>
      <c r="J159" s="4">
        <f t="shared" si="76"/>
        <v>0</v>
      </c>
      <c r="K159" s="4">
        <f t="shared" si="77"/>
        <v>0</v>
      </c>
      <c r="L159" s="4">
        <f t="shared" si="86"/>
      </c>
      <c r="M159" s="4" t="str">
        <f t="shared" si="87"/>
        <v>Earth</v>
      </c>
      <c r="N159" s="4">
        <f t="shared" si="88"/>
        <v>0</v>
      </c>
      <c r="O159" s="4">
        <f t="shared" si="89"/>
        <v>0</v>
      </c>
      <c r="P159" s="4">
        <f t="shared" si="78"/>
      </c>
      <c r="Q159" s="4">
        <f t="shared" si="90"/>
        <v>0</v>
      </c>
      <c r="R159" s="4">
        <f t="shared" si="79"/>
      </c>
      <c r="S159" s="4">
        <f t="shared" si="91"/>
        <v>0</v>
      </c>
      <c r="T159" s="4">
        <f t="shared" si="92"/>
        <v>1</v>
      </c>
      <c r="U159" s="5">
        <f t="shared" si="94"/>
        <v>22</v>
      </c>
      <c r="V159" s="5">
        <f t="shared" si="80"/>
        <v>22</v>
      </c>
      <c r="X159" s="5">
        <f t="shared" si="81"/>
        <v>22</v>
      </c>
      <c r="Y159" s="6">
        <f>(1*INT((10+INT(3*X159/5))/1)+1)/2</f>
        <v>12</v>
      </c>
      <c r="Z159" s="5" t="s">
        <v>944</v>
      </c>
      <c r="AA159" s="5">
        <f>7+INT((X159+1)/2/20)</f>
        <v>7</v>
      </c>
      <c r="AB159" s="5">
        <v>1</v>
      </c>
      <c r="AD159" s="6" t="s">
        <v>1101</v>
      </c>
      <c r="AE159" s="4" t="s">
        <v>885</v>
      </c>
      <c r="AF159" s="4" t="s">
        <v>992</v>
      </c>
      <c r="AH159" s="4" t="e">
        <f t="shared" si="82"/>
        <v>#N/A</v>
      </c>
      <c r="AI159" s="4" t="s">
        <v>1032</v>
      </c>
      <c r="AO159" s="4">
        <f>COUNTIF(SpellbooksOwned!$D$2:$K$49,$A159)</f>
        <v>0</v>
      </c>
      <c r="AP159" s="4" t="e">
        <f>IF(ISBLANK(AI159),0,VLOOKUP(AI159,SpellbooksOwned!$A$1:$B$49,2,FALSE))</f>
        <v>#N/A</v>
      </c>
      <c r="AQ159" s="4">
        <f>IF(ISBLANK(AJ159),0,VLOOKUP(AJ159,SpellbooksOwned!$A$1:$B$49,2,FALSE))</f>
        <v>0</v>
      </c>
      <c r="AR159" s="4">
        <f>IF(ISBLANK(AK159),0,VLOOKUP(AK159,SpellbooksOwned!$A$1:$B$49,2,FALSE))</f>
        <v>0</v>
      </c>
      <c r="AS159" s="4">
        <f>IF(ISBLANK(AL159),0,VLOOKUP(AL159,SpellbooksOwned!$A$1:$B$49,2,FALSE))</f>
        <v>0</v>
      </c>
      <c r="AT159" s="4">
        <f>IF(ISBLANK(AM159),0,VLOOKUP(AM159,SpellbooksOwned!$A$1:$B$49,2,FALSE))</f>
        <v>0</v>
      </c>
      <c r="AU159" s="4">
        <f>IF(ISBLANK(AN159),0,VLOOKUP(AN159,SpellbooksOwned!$A$1:$B$49,2,FALSE))</f>
        <v>0</v>
      </c>
      <c r="AV159" s="4">
        <f t="shared" si="83"/>
        <v>86</v>
      </c>
      <c r="AW159" s="26">
        <f t="shared" si="84"/>
        <v>86</v>
      </c>
      <c r="AX159" s="29">
        <f t="shared" si="71"/>
        <v>0.9834142528026166</v>
      </c>
      <c r="AY159" s="4" t="str">
        <f t="shared" si="85"/>
        <v>Cruddy</v>
      </c>
      <c r="AZ159" s="4"/>
    </row>
    <row r="160" spans="1:52" ht="12.75">
      <c r="A160" s="4" t="s">
        <v>574</v>
      </c>
      <c r="B160" s="4">
        <v>7</v>
      </c>
      <c r="C160" s="4" t="s">
        <v>373</v>
      </c>
      <c r="D160" s="4" t="s">
        <v>361</v>
      </c>
      <c r="F160" s="4">
        <f t="shared" si="72"/>
        <v>1</v>
      </c>
      <c r="G160" s="4">
        <f t="shared" si="73"/>
        <v>1</v>
      </c>
      <c r="H160" s="4">
        <f t="shared" si="74"/>
      </c>
      <c r="I160" s="4">
        <f t="shared" si="75"/>
        <v>11</v>
      </c>
      <c r="J160" s="4">
        <f t="shared" si="76"/>
        <v>0</v>
      </c>
      <c r="K160" s="4">
        <f t="shared" si="77"/>
        <v>0</v>
      </c>
      <c r="L160" s="4">
        <f t="shared" si="86"/>
      </c>
      <c r="M160" s="4" t="str">
        <f t="shared" si="87"/>
        <v>Air</v>
      </c>
      <c r="N160" s="4">
        <f t="shared" si="88"/>
        <v>0</v>
      </c>
      <c r="O160" s="4">
        <f t="shared" si="89"/>
        <v>0</v>
      </c>
      <c r="P160" s="4">
        <f t="shared" si="78"/>
      </c>
      <c r="Q160" s="4">
        <f t="shared" si="90"/>
        <v>0</v>
      </c>
      <c r="R160" s="4">
        <f t="shared" si="79"/>
      </c>
      <c r="S160" s="4">
        <f t="shared" si="91"/>
        <v>0</v>
      </c>
      <c r="T160" s="4">
        <f t="shared" si="92"/>
        <v>1</v>
      </c>
      <c r="U160" s="5">
        <f t="shared" si="94"/>
        <v>15</v>
      </c>
      <c r="V160" s="5">
        <f t="shared" si="80"/>
        <v>15</v>
      </c>
      <c r="X160" s="5">
        <f t="shared" si="81"/>
        <v>15</v>
      </c>
      <c r="Z160" s="5">
        <v>1</v>
      </c>
      <c r="AB160" s="5" t="s">
        <v>158</v>
      </c>
      <c r="AD160" s="6" t="s">
        <v>159</v>
      </c>
      <c r="AE160" s="4" t="s">
        <v>866</v>
      </c>
      <c r="AH160" s="4" t="b">
        <f t="shared" si="82"/>
        <v>1</v>
      </c>
      <c r="AI160" s="4" t="s">
        <v>37</v>
      </c>
      <c r="AO160" s="4">
        <f>COUNTIF(SpellbooksOwned!$D$2:$K$49,$A160)</f>
        <v>1</v>
      </c>
      <c r="AP160" s="4">
        <f>IF(ISBLANK(AI160),0,VLOOKUP(AI160,SpellbooksOwned!$A$1:$B$49,2,FALSE))</f>
        <v>1</v>
      </c>
      <c r="AQ160" s="4">
        <f>IF(ISBLANK(AJ160),0,VLOOKUP(AJ160,SpellbooksOwned!$A$1:$B$49,2,FALSE))</f>
        <v>0</v>
      </c>
      <c r="AR160" s="4">
        <f>IF(ISBLANK(AK160),0,VLOOKUP(AK160,SpellbooksOwned!$A$1:$B$49,2,FALSE))</f>
        <v>0</v>
      </c>
      <c r="AS160" s="4">
        <f>IF(ISBLANK(AL160),0,VLOOKUP(AL160,SpellbooksOwned!$A$1:$B$49,2,FALSE))</f>
        <v>0</v>
      </c>
      <c r="AT160" s="4">
        <f>IF(ISBLANK(AM160),0,VLOOKUP(AM160,SpellbooksOwned!$A$1:$B$49,2,FALSE))</f>
        <v>0</v>
      </c>
      <c r="AU160" s="4">
        <f>IF(ISBLANK(AN160),0,VLOOKUP(AN160,SpellbooksOwned!$A$1:$B$49,2,FALSE))</f>
        <v>0</v>
      </c>
      <c r="AV160" s="4">
        <f t="shared" si="83"/>
        <v>166</v>
      </c>
      <c r="AW160" s="26">
        <f t="shared" si="84"/>
        <v>100</v>
      </c>
      <c r="AX160" s="29">
        <f t="shared" si="71"/>
        <v>0.9985109323648599</v>
      </c>
      <c r="AY160" s="4" t="str">
        <f t="shared" si="85"/>
        <v>Useless</v>
      </c>
      <c r="AZ160" s="4"/>
    </row>
    <row r="161" spans="1:52" ht="12.75">
      <c r="A161" s="4" t="s">
        <v>575</v>
      </c>
      <c r="B161" s="4">
        <v>3</v>
      </c>
      <c r="C161" s="4" t="s">
        <v>359</v>
      </c>
      <c r="F161" s="4">
        <f t="shared" si="72"/>
        <v>1</v>
      </c>
      <c r="G161" s="4">
        <f t="shared" si="73"/>
      </c>
      <c r="H161" s="4">
        <f t="shared" si="74"/>
      </c>
      <c r="I161" s="4">
        <f t="shared" si="75"/>
        <v>11</v>
      </c>
      <c r="J161" s="4">
        <f t="shared" si="76"/>
        <v>0</v>
      </c>
      <c r="K161" s="4">
        <f t="shared" si="77"/>
      </c>
      <c r="L161" s="4">
        <f t="shared" si="86"/>
      </c>
      <c r="M161" s="4">
        <f t="shared" si="87"/>
        <v>0</v>
      </c>
      <c r="N161" s="4">
        <f t="shared" si="88"/>
      </c>
      <c r="O161" s="4">
        <f t="shared" si="89"/>
        <v>0</v>
      </c>
      <c r="P161" s="4">
        <f t="shared" si="78"/>
      </c>
      <c r="Q161" s="4">
        <f t="shared" si="90"/>
        <v>0</v>
      </c>
      <c r="R161" s="4">
        <f t="shared" si="79"/>
      </c>
      <c r="S161" s="4">
        <f t="shared" si="91"/>
        <v>0</v>
      </c>
      <c r="T161" s="4">
        <f t="shared" si="92"/>
        <v>1</v>
      </c>
      <c r="U161" s="5">
        <f t="shared" si="94"/>
        <v>15</v>
      </c>
      <c r="V161" s="5">
        <f t="shared" si="80"/>
        <v>15</v>
      </c>
      <c r="X161" s="5">
        <f t="shared" si="81"/>
        <v>15</v>
      </c>
      <c r="Z161" s="5" t="s">
        <v>908</v>
      </c>
      <c r="AB161" s="5">
        <f>VLOOKUP(AG161,Enchantments!$E$8:$G$36,3,FALSE)</f>
        <v>30</v>
      </c>
      <c r="AD161" s="6" t="s">
        <v>156</v>
      </c>
      <c r="AE161" s="4" t="s">
        <v>857</v>
      </c>
      <c r="AG161" s="5" t="str">
        <f>CONCATENATE("ENCH_ABJ_",TEXT(MIN(6,2+INT((X161+1)/2/5)),"0"))</f>
        <v>ENCH_ABJ_3</v>
      </c>
      <c r="AH161" s="4" t="b">
        <f t="shared" si="82"/>
        <v>0</v>
      </c>
      <c r="AI161" s="4" t="s">
        <v>658</v>
      </c>
      <c r="AO161" s="4">
        <f>COUNTIF(SpellbooksOwned!$D$2:$K$49,$A161)</f>
        <v>1</v>
      </c>
      <c r="AP161" s="4">
        <f>IF(ISBLANK(AI161),0,VLOOKUP(AI161,SpellbooksOwned!$A$1:$B$49,2,FALSE))</f>
        <v>0</v>
      </c>
      <c r="AQ161" s="4">
        <f>IF(ISBLANK(AJ161),0,VLOOKUP(AJ161,SpellbooksOwned!$A$1:$B$49,2,FALSE))</f>
        <v>0</v>
      </c>
      <c r="AR161" s="4">
        <f>IF(ISBLANK(AK161),0,VLOOKUP(AK161,SpellbooksOwned!$A$1:$B$49,2,FALSE))</f>
        <v>0</v>
      </c>
      <c r="AS161" s="4">
        <f>IF(ISBLANK(AL161),0,VLOOKUP(AL161,SpellbooksOwned!$A$1:$B$49,2,FALSE))</f>
        <v>0</v>
      </c>
      <c r="AT161" s="4">
        <f>IF(ISBLANK(AM161),0,VLOOKUP(AM161,SpellbooksOwned!$A$1:$B$49,2,FALSE))</f>
        <v>0</v>
      </c>
      <c r="AU161" s="4">
        <f>IF(ISBLANK(AN161),0,VLOOKUP(AN161,SpellbooksOwned!$A$1:$B$49,2,FALSE))</f>
        <v>0</v>
      </c>
      <c r="AV161" s="4">
        <f t="shared" si="83"/>
        <v>1</v>
      </c>
      <c r="AW161" s="26">
        <f t="shared" si="84"/>
        <v>28</v>
      </c>
      <c r="AX161" s="29">
        <f>NORMDIST(AW161,50.5,100/6,TRUE)</f>
        <v>0.08850805170850018</v>
      </c>
      <c r="AY161" s="4" t="str">
        <f t="shared" si="85"/>
        <v>Very Good</v>
      </c>
      <c r="AZ161" s="4"/>
    </row>
    <row r="162" spans="1:52" ht="12.75">
      <c r="A162" s="4" t="s">
        <v>576</v>
      </c>
      <c r="B162" s="4">
        <v>2</v>
      </c>
      <c r="C162" s="4" t="s">
        <v>359</v>
      </c>
      <c r="F162" s="4">
        <f t="shared" si="72"/>
        <v>1</v>
      </c>
      <c r="G162" s="4">
        <f t="shared" si="73"/>
      </c>
      <c r="H162" s="4">
        <f t="shared" si="74"/>
      </c>
      <c r="I162" s="4">
        <f t="shared" si="75"/>
        <v>11</v>
      </c>
      <c r="J162" s="4">
        <f t="shared" si="76"/>
        <v>0</v>
      </c>
      <c r="K162" s="4">
        <f t="shared" si="77"/>
      </c>
      <c r="L162" s="4">
        <f t="shared" si="86"/>
      </c>
      <c r="M162" s="4">
        <f t="shared" si="87"/>
        <v>0</v>
      </c>
      <c r="N162" s="4">
        <f t="shared" si="88"/>
      </c>
      <c r="O162" s="4">
        <f t="shared" si="89"/>
        <v>0</v>
      </c>
      <c r="P162" s="4">
        <f>IF(O162=0,"",VLOOKUP(O162,TblSkillItems,2,FALSE))</f>
      </c>
      <c r="Q162" s="4">
        <f t="shared" si="90"/>
        <v>0</v>
      </c>
      <c r="R162" s="4">
        <f t="shared" si="79"/>
      </c>
      <c r="S162" s="4">
        <f t="shared" si="91"/>
        <v>0</v>
      </c>
      <c r="T162" s="4">
        <f t="shared" si="92"/>
        <v>1</v>
      </c>
      <c r="U162" s="5">
        <f t="shared" si="94"/>
        <v>15</v>
      </c>
      <c r="V162" s="5">
        <f t="shared" si="80"/>
        <v>15</v>
      </c>
      <c r="X162" s="5">
        <f t="shared" si="81"/>
        <v>15</v>
      </c>
      <c r="Z162" s="5">
        <v>0</v>
      </c>
      <c r="AB162" s="5">
        <f>MIN(50,10+2*INT((X162+1)/2))</f>
        <v>26</v>
      </c>
      <c r="AD162" s="6" t="s">
        <v>73</v>
      </c>
      <c r="AE162" s="4" t="s">
        <v>856</v>
      </c>
      <c r="AH162" s="4" t="b">
        <f t="shared" si="82"/>
        <v>0</v>
      </c>
      <c r="AI162" s="4" t="s">
        <v>658</v>
      </c>
      <c r="AO162" s="4">
        <f>COUNTIF(SpellbooksOwned!$D$2:$K$49,$A162)</f>
        <v>1</v>
      </c>
      <c r="AP162" s="4">
        <f>IF(ISBLANK(AI162),0,VLOOKUP(AI162,SpellbooksOwned!$A$1:$B$49,2,FALSE))</f>
        <v>0</v>
      </c>
      <c r="AQ162" s="4">
        <f>IF(ISBLANK(AJ162),0,VLOOKUP(AJ162,SpellbooksOwned!$A$1:$B$49,2,FALSE))</f>
        <v>0</v>
      </c>
      <c r="AR162" s="4">
        <f>IF(ISBLANK(AK162),0,VLOOKUP(AK162,SpellbooksOwned!$A$1:$B$49,2,FALSE))</f>
        <v>0</v>
      </c>
      <c r="AS162" s="4">
        <f>IF(ISBLANK(AL162),0,VLOOKUP(AL162,SpellbooksOwned!$A$1:$B$49,2,FALSE))</f>
        <v>0</v>
      </c>
      <c r="AT162" s="4">
        <f>IF(ISBLANK(AM162),0,VLOOKUP(AM162,SpellbooksOwned!$A$1:$B$49,2,FALSE))</f>
        <v>0</v>
      </c>
      <c r="AU162" s="4">
        <f>IF(ISBLANK(AN162),0,VLOOKUP(AN162,SpellbooksOwned!$A$1:$B$49,2,FALSE))</f>
        <v>0</v>
      </c>
      <c r="AV162" s="4">
        <f t="shared" si="83"/>
        <v>-19</v>
      </c>
      <c r="AW162" s="26">
        <f t="shared" si="84"/>
        <v>22</v>
      </c>
      <c r="AX162" s="29">
        <f>NORMDIST(AW162,50.5,100/6,TRUE)</f>
        <v>0.043632902942498775</v>
      </c>
      <c r="AY162" s="4" t="str">
        <f t="shared" si="85"/>
        <v>Very Good</v>
      </c>
      <c r="AZ162" s="4"/>
    </row>
    <row r="163" spans="1:52" ht="12.75">
      <c r="A163" s="4" t="s">
        <v>578</v>
      </c>
      <c r="B163" s="4">
        <v>5</v>
      </c>
      <c r="C163" s="4" t="s">
        <v>371</v>
      </c>
      <c r="F163" s="4">
        <f t="shared" si="72"/>
        <v>1</v>
      </c>
      <c r="G163" s="4">
        <f t="shared" si="73"/>
      </c>
      <c r="H163" s="4">
        <f t="shared" si="74"/>
      </c>
      <c r="I163" s="4">
        <f t="shared" si="75"/>
        <v>11</v>
      </c>
      <c r="J163" s="4">
        <f t="shared" si="76"/>
        <v>0</v>
      </c>
      <c r="K163" s="4">
        <f t="shared" si="77"/>
      </c>
      <c r="L163" s="4">
        <f t="shared" si="86"/>
      </c>
      <c r="M163" s="4">
        <f t="shared" si="87"/>
        <v>0</v>
      </c>
      <c r="N163" s="4">
        <f t="shared" si="88"/>
      </c>
      <c r="O163" s="4">
        <f t="shared" si="89"/>
        <v>0</v>
      </c>
      <c r="P163" s="4">
        <f>IF(O163=0,"",VLOOKUP(O163,TblSkillItems,2,FALSE))</f>
      </c>
      <c r="Q163" s="4">
        <f t="shared" si="90"/>
        <v>0</v>
      </c>
      <c r="R163" s="4">
        <f t="shared" si="79"/>
      </c>
      <c r="S163" s="4">
        <f t="shared" si="91"/>
        <v>0</v>
      </c>
      <c r="T163" s="4">
        <f t="shared" si="92"/>
        <v>1</v>
      </c>
      <c r="U163" s="5">
        <f t="shared" si="94"/>
        <v>15</v>
      </c>
      <c r="V163" s="5">
        <f t="shared" si="80"/>
        <v>15</v>
      </c>
      <c r="X163" s="5">
        <f t="shared" si="81"/>
        <v>15</v>
      </c>
      <c r="Z163" s="5">
        <v>0</v>
      </c>
      <c r="AB163" s="5" t="s">
        <v>95</v>
      </c>
      <c r="AD163" s="6" t="s">
        <v>540</v>
      </c>
      <c r="AE163" s="4" t="s">
        <v>849</v>
      </c>
      <c r="AH163" s="4" t="b">
        <f t="shared" si="82"/>
        <v>1</v>
      </c>
      <c r="AI163" s="4" t="s">
        <v>650</v>
      </c>
      <c r="AO163" s="4">
        <f>COUNTIF(SpellbooksOwned!$D$2:$K$49,$A163)</f>
        <v>1</v>
      </c>
      <c r="AP163" s="4">
        <f>IF(ISBLANK(AI163),0,VLOOKUP(AI163,SpellbooksOwned!$A$1:$B$49,2,FALSE))</f>
        <v>1</v>
      </c>
      <c r="AQ163" s="4">
        <f>IF(ISBLANK(AJ163),0,VLOOKUP(AJ163,SpellbooksOwned!$A$1:$B$49,2,FALSE))</f>
        <v>0</v>
      </c>
      <c r="AR163" s="4">
        <f>IF(ISBLANK(AK163),0,VLOOKUP(AK163,SpellbooksOwned!$A$1:$B$49,2,FALSE))</f>
        <v>0</v>
      </c>
      <c r="AS163" s="4">
        <f>IF(ISBLANK(AL163),0,VLOOKUP(AL163,SpellbooksOwned!$A$1:$B$49,2,FALSE))</f>
        <v>0</v>
      </c>
      <c r="AT163" s="4">
        <f>IF(ISBLANK(AM163),0,VLOOKUP(AM163,SpellbooksOwned!$A$1:$B$49,2,FALSE))</f>
        <v>0</v>
      </c>
      <c r="AU163" s="4">
        <f>IF(ISBLANK(AN163),0,VLOOKUP(AN163,SpellbooksOwned!$A$1:$B$49,2,FALSE))</f>
        <v>0</v>
      </c>
      <c r="AV163" s="4">
        <f t="shared" si="83"/>
        <v>66</v>
      </c>
      <c r="AW163" s="26">
        <f t="shared" si="84"/>
        <v>66</v>
      </c>
      <c r="AX163" s="29">
        <f>NORMDIST(AW163,50.5,100/6,TRUE)</f>
        <v>0.8238144797733274</v>
      </c>
      <c r="AY163" s="4" t="str">
        <f t="shared" si="85"/>
        <v>Very Poor</v>
      </c>
      <c r="AZ163" s="4"/>
    </row>
    <row r="164" spans="1:52" ht="12.75">
      <c r="A164" s="4" t="s">
        <v>579</v>
      </c>
      <c r="B164" s="4">
        <v>3</v>
      </c>
      <c r="C164" s="4" t="s">
        <v>371</v>
      </c>
      <c r="F164" s="4">
        <f t="shared" si="72"/>
        <v>1</v>
      </c>
      <c r="G164" s="4">
        <f t="shared" si="73"/>
      </c>
      <c r="H164" s="4">
        <f t="shared" si="74"/>
      </c>
      <c r="I164" s="4">
        <f t="shared" si="75"/>
        <v>11</v>
      </c>
      <c r="J164" s="4">
        <f t="shared" si="76"/>
        <v>0</v>
      </c>
      <c r="K164" s="4">
        <f t="shared" si="77"/>
      </c>
      <c r="L164" s="4">
        <f t="shared" si="86"/>
      </c>
      <c r="M164" s="4">
        <f t="shared" si="87"/>
        <v>0</v>
      </c>
      <c r="N164" s="4">
        <f t="shared" si="88"/>
      </c>
      <c r="O164" s="4">
        <f t="shared" si="89"/>
        <v>0</v>
      </c>
      <c r="P164" s="4">
        <f>IF(O164=0,"",VLOOKUP(O164,TblSkillItems,2,FALSE))</f>
      </c>
      <c r="Q164" s="4">
        <f t="shared" si="90"/>
        <v>0</v>
      </c>
      <c r="R164" s="4">
        <f t="shared" si="79"/>
      </c>
      <c r="S164" s="4">
        <f t="shared" si="91"/>
        <v>0</v>
      </c>
      <c r="T164" s="4">
        <f t="shared" si="92"/>
        <v>1</v>
      </c>
      <c r="U164" s="5">
        <f t="shared" si="94"/>
        <v>15</v>
      </c>
      <c r="V164" s="5">
        <f t="shared" si="80"/>
        <v>15</v>
      </c>
      <c r="X164" s="5">
        <f t="shared" si="81"/>
        <v>15</v>
      </c>
      <c r="Y164" s="6">
        <f>3+2*5+(U164+1)/2/7</f>
        <v>14.142857142857142</v>
      </c>
      <c r="Z164" s="5" t="s">
        <v>59</v>
      </c>
      <c r="AB164" s="5">
        <v>1</v>
      </c>
      <c r="AD164" s="6" t="s">
        <v>91</v>
      </c>
      <c r="AE164" s="4" t="s">
        <v>867</v>
      </c>
      <c r="AH164" s="4" t="b">
        <f t="shared" si="82"/>
        <v>1</v>
      </c>
      <c r="AI164" s="4" t="s">
        <v>371</v>
      </c>
      <c r="AO164" s="4">
        <f>COUNTIF(SpellbooksOwned!$D$2:$K$49,$A164)</f>
        <v>1</v>
      </c>
      <c r="AP164" s="4">
        <f>IF(ISBLANK(AI164),0,VLOOKUP(AI164,SpellbooksOwned!$A$1:$B$49,2,FALSE))</f>
        <v>1</v>
      </c>
      <c r="AQ164" s="4">
        <f>IF(ISBLANK(AJ164),0,VLOOKUP(AJ164,SpellbooksOwned!$A$1:$B$49,2,FALSE))</f>
        <v>0</v>
      </c>
      <c r="AR164" s="4">
        <f>IF(ISBLANK(AK164),0,VLOOKUP(AK164,SpellbooksOwned!$A$1:$B$49,2,FALSE))</f>
        <v>0</v>
      </c>
      <c r="AS164" s="4">
        <f>IF(ISBLANK(AL164),0,VLOOKUP(AL164,SpellbooksOwned!$A$1:$B$49,2,FALSE))</f>
        <v>0</v>
      </c>
      <c r="AT164" s="4">
        <f>IF(ISBLANK(AM164),0,VLOOKUP(AM164,SpellbooksOwned!$A$1:$B$49,2,FALSE))</f>
        <v>0</v>
      </c>
      <c r="AU164" s="4">
        <f>IF(ISBLANK(AN164),0,VLOOKUP(AN164,SpellbooksOwned!$A$1:$B$49,2,FALSE))</f>
        <v>0</v>
      </c>
      <c r="AV164" s="4">
        <f t="shared" si="83"/>
        <v>1</v>
      </c>
      <c r="AW164" s="26">
        <f t="shared" si="84"/>
        <v>28</v>
      </c>
      <c r="AX164" s="29">
        <f>NORMDIST(AW164,50.5,100/6,TRUE)</f>
        <v>0.08850805170850018</v>
      </c>
      <c r="AY164" s="4" t="str">
        <f t="shared" si="85"/>
        <v>Very Good</v>
      </c>
      <c r="AZ164" s="4"/>
    </row>
    <row r="165" spans="1:52" ht="12.75">
      <c r="A165" s="4" t="s">
        <v>580</v>
      </c>
      <c r="B165" s="4">
        <v>5</v>
      </c>
      <c r="C165" s="4" t="s">
        <v>361</v>
      </c>
      <c r="D165" s="4" t="s">
        <v>420</v>
      </c>
      <c r="F165" s="4">
        <f t="shared" si="72"/>
        <v>1</v>
      </c>
      <c r="G165" s="4">
        <f t="shared" si="73"/>
        <v>1</v>
      </c>
      <c r="H165" s="4">
        <f t="shared" si="74"/>
      </c>
      <c r="I165" s="4">
        <f t="shared" si="75"/>
        <v>11</v>
      </c>
      <c r="J165" s="4">
        <f t="shared" si="76"/>
        <v>0</v>
      </c>
      <c r="K165" s="4">
        <f t="shared" si="77"/>
        <v>0</v>
      </c>
      <c r="L165" s="4">
        <f t="shared" si="86"/>
      </c>
      <c r="M165" s="4">
        <f t="shared" si="87"/>
        <v>0</v>
      </c>
      <c r="N165" s="4">
        <f t="shared" si="88"/>
      </c>
      <c r="O165" s="4">
        <f t="shared" si="89"/>
        <v>0</v>
      </c>
      <c r="P165" s="4">
        <f>IF(O165=0,"",VLOOKUP(O165,TblSkillItems,2,FALSE))</f>
      </c>
      <c r="Q165" s="4">
        <f t="shared" si="90"/>
        <v>0</v>
      </c>
      <c r="R165" s="4">
        <f t="shared" si="79"/>
      </c>
      <c r="S165" s="4">
        <f t="shared" si="91"/>
        <v>0</v>
      </c>
      <c r="T165" s="4">
        <f t="shared" si="92"/>
        <v>1</v>
      </c>
      <c r="U165" s="5">
        <f t="shared" si="94"/>
        <v>15</v>
      </c>
      <c r="V165" s="5">
        <f t="shared" si="80"/>
        <v>15</v>
      </c>
      <c r="W165" s="5">
        <v>200</v>
      </c>
      <c r="X165" s="5">
        <f t="shared" si="81"/>
        <v>15</v>
      </c>
      <c r="Y165" s="6">
        <f>(4*INT((15+INT(X165/2))/4)+1)/2</f>
        <v>10.5</v>
      </c>
      <c r="Z165" s="5" t="s">
        <v>944</v>
      </c>
      <c r="AA165" s="5">
        <f>8+INT(X165/20)</f>
        <v>8</v>
      </c>
      <c r="AB165" s="5">
        <v>1</v>
      </c>
      <c r="AD165" s="6" t="s">
        <v>1002</v>
      </c>
      <c r="AE165" s="4" t="s">
        <v>776</v>
      </c>
      <c r="AF165" s="4" t="s">
        <v>947</v>
      </c>
      <c r="AH165" s="4" t="b">
        <f t="shared" si="82"/>
        <v>1</v>
      </c>
      <c r="AI165" s="4" t="s">
        <v>608</v>
      </c>
      <c r="AJ165" s="4" t="s">
        <v>702</v>
      </c>
      <c r="AO165" s="4">
        <f>COUNTIF(SpellbooksOwned!$D$2:$K$49,$A165)</f>
        <v>2</v>
      </c>
      <c r="AP165" s="4">
        <f>IF(ISBLANK(AI165),0,VLOOKUP(AI165,SpellbooksOwned!$A$1:$B$49,2,FALSE))</f>
        <v>1</v>
      </c>
      <c r="AQ165" s="4">
        <f>IF(ISBLANK(AJ165),0,VLOOKUP(AJ165,SpellbooksOwned!$A$1:$B$49,2,FALSE))</f>
        <v>1</v>
      </c>
      <c r="AR165" s="4">
        <f>IF(ISBLANK(AK165),0,VLOOKUP(AK165,SpellbooksOwned!$A$1:$B$49,2,FALSE))</f>
        <v>0</v>
      </c>
      <c r="AS165" s="4">
        <f>IF(ISBLANK(AL165),0,VLOOKUP(AL165,SpellbooksOwned!$A$1:$B$49,2,FALSE))</f>
        <v>0</v>
      </c>
      <c r="AT165" s="4">
        <f>IF(ISBLANK(AM165),0,VLOOKUP(AM165,SpellbooksOwned!$A$1:$B$49,2,FALSE))</f>
        <v>0</v>
      </c>
      <c r="AU165" s="4">
        <f>IF(ISBLANK(AN165),0,VLOOKUP(AN165,SpellbooksOwned!$A$1:$B$49,2,FALSE))</f>
        <v>0</v>
      </c>
      <c r="AV165" s="4">
        <f t="shared" si="83"/>
        <v>66</v>
      </c>
      <c r="AW165" s="26">
        <f t="shared" si="84"/>
        <v>66</v>
      </c>
      <c r="AX165" s="29">
        <f>NORMDIST(AW165,50.5,100/6,TRUE)</f>
        <v>0.8238144797733274</v>
      </c>
      <c r="AY165" s="4" t="str">
        <f t="shared" si="85"/>
        <v>Very Poor</v>
      </c>
      <c r="AZ165" s="4"/>
    </row>
    <row r="166" spans="48:52" ht="12.75">
      <c r="AV166" s="4"/>
      <c r="AW166" s="26"/>
      <c r="AX166" s="29"/>
      <c r="AZ166" s="4"/>
    </row>
    <row r="167" spans="1:52" ht="12.75">
      <c r="A167" s="3" t="s">
        <v>269</v>
      </c>
      <c r="AV167" s="4"/>
      <c r="AW167" s="26"/>
      <c r="AX167" s="29"/>
      <c r="AZ167" s="4"/>
    </row>
    <row r="168" spans="1:52" ht="12.75">
      <c r="A168" s="4" t="s">
        <v>923</v>
      </c>
      <c r="B168" s="4">
        <v>1</v>
      </c>
      <c r="C168" s="4" t="s">
        <v>528</v>
      </c>
      <c r="F168" s="4">
        <f aca="true" t="shared" si="95" ref="F168:F192">IF(ISBLANK(C168),"",VLOOKUP(C168,TblSkillLevels,2,FALSE))</f>
        <v>1</v>
      </c>
      <c r="G168" s="4">
        <f aca="true" t="shared" si="96" ref="G168:G192">IF(ISBLANK(D168),"",VLOOKUP(D168,TblSkillLevels,2,FALSE))</f>
      </c>
      <c r="H168" s="4">
        <f aca="true" t="shared" si="97" ref="H168:H192">IF(ISBLANK(E168),"",VLOOKUP(E168,TblSkillLevels,2,FALSE))</f>
      </c>
      <c r="I168" s="4">
        <f t="shared" si="75"/>
        <v>11</v>
      </c>
      <c r="J168" s="4">
        <f aca="true" t="shared" si="98" ref="J168:J192">IF(ISBLANK(C168),"",VLOOKUP(C168,TblSkillItems,2,FALSE))</f>
        <v>0</v>
      </c>
      <c r="K168" s="4">
        <f aca="true" t="shared" si="99" ref="K168:K192">IF(ISBLANK(D168),"",VLOOKUP(D168,TblSkillItems,2,FALSE))</f>
      </c>
      <c r="L168" s="4">
        <f t="shared" si="86"/>
      </c>
      <c r="M168" s="4">
        <f t="shared" si="87"/>
        <v>0</v>
      </c>
      <c r="N168" s="4">
        <f t="shared" si="88"/>
      </c>
      <c r="O168" s="4">
        <f t="shared" si="89"/>
        <v>0</v>
      </c>
      <c r="P168" s="4">
        <f aca="true" t="shared" si="100" ref="P168:P192">IF(O168=0,"",VLOOKUP(O168,TblSkillItems,2,FALSE))</f>
      </c>
      <c r="Q168" s="4">
        <f t="shared" si="90"/>
        <v>0</v>
      </c>
      <c r="R168" s="4">
        <f t="shared" si="79"/>
      </c>
      <c r="S168" s="4">
        <f t="shared" si="91"/>
        <v>0</v>
      </c>
      <c r="T168" s="4">
        <f t="shared" si="92"/>
        <v>1</v>
      </c>
      <c r="U168" s="5">
        <v>25</v>
      </c>
      <c r="V168" s="5">
        <f aca="true" t="shared" si="101" ref="V168:V191">MIN(200,IF(U168&lt;=50,U168,IF(U168&lt;=150,INT(U168/2)+25,IF(U168&lt;=350,INT((U168-50)/4)+75,INT((INT((U168-50)/4)-75)/2)+150))))</f>
        <v>25</v>
      </c>
      <c r="W168" s="5">
        <v>25</v>
      </c>
      <c r="X168" s="5">
        <f t="shared" si="81"/>
        <v>25</v>
      </c>
      <c r="Y168" s="6">
        <f>1*(5+1)/2</f>
        <v>3</v>
      </c>
      <c r="Z168" s="5" t="s">
        <v>931</v>
      </c>
      <c r="AA168" s="5">
        <f>8+INT(X168/10)</f>
        <v>10</v>
      </c>
      <c r="AB168" s="5">
        <v>1</v>
      </c>
      <c r="AD168" s="6" t="s">
        <v>30</v>
      </c>
      <c r="AE168" s="4" t="s">
        <v>924</v>
      </c>
      <c r="AF168" s="4" t="s">
        <v>948</v>
      </c>
      <c r="AH168" s="4" t="e">
        <f aca="true" t="shared" si="102" ref="AH168:AH191">IF(AND((CharLevel&gt;=$B168),OR($AP168:$AU168)),TRUE,FALSE)</f>
        <v>#N/A</v>
      </c>
      <c r="AI168" s="4" t="s">
        <v>1036</v>
      </c>
      <c r="AP168" s="4" t="e">
        <f>IF(ISBLANK(AI168),0,VLOOKUP(AI168,SpellbooksOwned!$A$1:$B$49,2,FALSE))</f>
        <v>#N/A</v>
      </c>
      <c r="AQ168" s="4">
        <f>IF(ISBLANK(AJ168),0,VLOOKUP(AJ168,SpellbooksOwned!$A$1:$B$49,2,FALSE))</f>
        <v>0</v>
      </c>
      <c r="AR168" s="4">
        <f>IF(ISBLANK(AK168),0,VLOOKUP(AK168,SpellbooksOwned!$A$1:$B$49,2,FALSE))</f>
        <v>0</v>
      </c>
      <c r="AS168" s="4">
        <f>IF(ISBLANK(AL168),0,VLOOKUP(AL168,SpellbooksOwned!$A$1:$B$49,2,FALSE))</f>
        <v>0</v>
      </c>
      <c r="AT168" s="4">
        <f>IF(ISBLANK(AM168),0,VLOOKUP(AM168,SpellbooksOwned!$A$1:$B$49,2,FALSE))</f>
        <v>0</v>
      </c>
      <c r="AU168" s="4">
        <f>IF(ISBLANK(AN168),0,VLOOKUP(AN168,SpellbooksOwned!$A$1:$B$49,2,FALSE))</f>
        <v>0</v>
      </c>
      <c r="AV168" s="4">
        <f t="shared" si="83"/>
        <v>-31</v>
      </c>
      <c r="AW168" s="26">
        <f t="shared" si="84"/>
        <v>18</v>
      </c>
      <c r="AX168" s="29">
        <f aca="true" t="shared" si="103" ref="AX168:AX191">NORMDIST(AW168,50.5,100/6,TRUE)</f>
        <v>0.025587989795647026</v>
      </c>
      <c r="AY168" s="4" t="str">
        <f aca="true" t="shared" si="104" ref="AY168:AY191">LOOKUP(AW168,TblFailureCategories)</f>
        <v>Great</v>
      </c>
      <c r="AZ168" s="4"/>
    </row>
    <row r="169" spans="1:52" ht="12.75">
      <c r="A169" s="4" t="s">
        <v>239</v>
      </c>
      <c r="B169" s="4">
        <v>6</v>
      </c>
      <c r="C169" s="4" t="s">
        <v>477</v>
      </c>
      <c r="F169" s="4">
        <f t="shared" si="95"/>
        <v>1</v>
      </c>
      <c r="G169" s="4">
        <f t="shared" si="96"/>
      </c>
      <c r="H169" s="4">
        <f t="shared" si="97"/>
      </c>
      <c r="I169" s="4">
        <f t="shared" si="75"/>
        <v>11</v>
      </c>
      <c r="J169" s="4">
        <f t="shared" si="98"/>
        <v>0</v>
      </c>
      <c r="K169" s="4">
        <f t="shared" si="99"/>
      </c>
      <c r="L169" s="4">
        <f t="shared" si="86"/>
      </c>
      <c r="M169" s="4">
        <f t="shared" si="87"/>
        <v>0</v>
      </c>
      <c r="N169" s="4">
        <f t="shared" si="88"/>
      </c>
      <c r="O169" s="4">
        <f t="shared" si="89"/>
        <v>0</v>
      </c>
      <c r="P169" s="4">
        <f t="shared" si="100"/>
      </c>
      <c r="Q169" s="4">
        <f t="shared" si="90"/>
        <v>0</v>
      </c>
      <c r="R169" s="4">
        <f t="shared" si="79"/>
      </c>
      <c r="S169" s="4">
        <f t="shared" si="91"/>
        <v>0</v>
      </c>
      <c r="T169" s="4">
        <f t="shared" si="92"/>
        <v>1</v>
      </c>
      <c r="U169" s="5">
        <f aca="true" t="shared" si="105" ref="U169:U174">INT(INT(I169*T169)*Intelligence/10)</f>
        <v>15</v>
      </c>
      <c r="V169" s="5">
        <f t="shared" si="101"/>
        <v>15</v>
      </c>
      <c r="X169" s="5">
        <f t="shared" si="81"/>
        <v>15</v>
      </c>
      <c r="AB169" s="4"/>
      <c r="AC169" s="5">
        <f>MIN(1,7/X169)</f>
        <v>0.4666666666666667</v>
      </c>
      <c r="AD169" s="6" t="s">
        <v>526</v>
      </c>
      <c r="AE169" s="4" t="s">
        <v>145</v>
      </c>
      <c r="AH169" s="4" t="e">
        <f t="shared" si="102"/>
        <v>#N/A</v>
      </c>
      <c r="AI169" s="4" t="s">
        <v>144</v>
      </c>
      <c r="AP169" s="4" t="e">
        <f>IF(ISBLANK(AI169),0,VLOOKUP(AI169,SpellbooksOwned!$A$1:$B$49,2,FALSE))</f>
        <v>#N/A</v>
      </c>
      <c r="AQ169" s="4">
        <f>IF(ISBLANK(AJ169),0,VLOOKUP(AJ169,SpellbooksOwned!$A$1:$B$49,2,FALSE))</f>
        <v>0</v>
      </c>
      <c r="AR169" s="4">
        <f>IF(ISBLANK(AK169),0,VLOOKUP(AK169,SpellbooksOwned!$A$1:$B$49,2,FALSE))</f>
        <v>0</v>
      </c>
      <c r="AS169" s="4">
        <f>IF(ISBLANK(AL169),0,VLOOKUP(AL169,SpellbooksOwned!$A$1:$B$49,2,FALSE))</f>
        <v>0</v>
      </c>
      <c r="AT169" s="4">
        <f>IF(ISBLANK(AM169),0,VLOOKUP(AM169,SpellbooksOwned!$A$1:$B$49,2,FALSE))</f>
        <v>0</v>
      </c>
      <c r="AU169" s="4">
        <f>IF(ISBLANK(AN169),0,VLOOKUP(AN169,SpellbooksOwned!$A$1:$B$49,2,FALSE))</f>
        <v>0</v>
      </c>
      <c r="AV169" s="4">
        <f t="shared" si="83"/>
        <v>116</v>
      </c>
      <c r="AW169" s="26">
        <f t="shared" si="84"/>
        <v>100</v>
      </c>
      <c r="AX169" s="29">
        <f t="shared" si="103"/>
        <v>0.9985109323648599</v>
      </c>
      <c r="AY169" s="4" t="str">
        <f t="shared" si="104"/>
        <v>Useless</v>
      </c>
      <c r="AZ169" s="4"/>
    </row>
    <row r="170" spans="1:52" ht="12.75">
      <c r="A170" s="4" t="s">
        <v>241</v>
      </c>
      <c r="B170" s="4">
        <v>7</v>
      </c>
      <c r="C170" s="4" t="s">
        <v>361</v>
      </c>
      <c r="F170" s="4">
        <f t="shared" si="95"/>
        <v>1</v>
      </c>
      <c r="G170" s="4">
        <f t="shared" si="96"/>
      </c>
      <c r="H170" s="4">
        <f t="shared" si="97"/>
      </c>
      <c r="I170" s="4">
        <f t="shared" si="75"/>
        <v>11</v>
      </c>
      <c r="J170" s="4">
        <f t="shared" si="98"/>
        <v>0</v>
      </c>
      <c r="K170" s="4">
        <f t="shared" si="99"/>
      </c>
      <c r="L170" s="4">
        <f t="shared" si="86"/>
      </c>
      <c r="M170" s="4">
        <f t="shared" si="87"/>
        <v>0</v>
      </c>
      <c r="N170" s="4">
        <f t="shared" si="88"/>
      </c>
      <c r="O170" s="4">
        <f t="shared" si="89"/>
        <v>0</v>
      </c>
      <c r="P170" s="4">
        <f t="shared" si="100"/>
      </c>
      <c r="Q170" s="4">
        <f t="shared" si="90"/>
        <v>0</v>
      </c>
      <c r="R170" s="4">
        <f t="shared" si="79"/>
      </c>
      <c r="S170" s="4">
        <f t="shared" si="91"/>
        <v>0</v>
      </c>
      <c r="T170" s="4">
        <f t="shared" si="92"/>
        <v>1</v>
      </c>
      <c r="U170" s="5">
        <f t="shared" si="105"/>
        <v>15</v>
      </c>
      <c r="V170" s="5">
        <f t="shared" si="101"/>
        <v>15</v>
      </c>
      <c r="X170" s="5">
        <f t="shared" si="81"/>
        <v>15</v>
      </c>
      <c r="AE170" s="4" t="s">
        <v>268</v>
      </c>
      <c r="AH170" s="4" t="e">
        <f t="shared" si="102"/>
        <v>#N/A</v>
      </c>
      <c r="AI170" s="4" t="s">
        <v>242</v>
      </c>
      <c r="AP170" s="4" t="e">
        <f>IF(ISBLANK(AI170),0,VLOOKUP(AI170,SpellbooksOwned!$A$1:$B$49,2,FALSE))</f>
        <v>#N/A</v>
      </c>
      <c r="AQ170" s="4">
        <f>IF(ISBLANK(AJ170),0,VLOOKUP(AJ170,SpellbooksOwned!$A$1:$B$49,2,FALSE))</f>
        <v>0</v>
      </c>
      <c r="AR170" s="4">
        <f>IF(ISBLANK(AK170),0,VLOOKUP(AK170,SpellbooksOwned!$A$1:$B$49,2,FALSE))</f>
        <v>0</v>
      </c>
      <c r="AS170" s="4">
        <f>IF(ISBLANK(AL170),0,VLOOKUP(AL170,SpellbooksOwned!$A$1:$B$49,2,FALSE))</f>
        <v>0</v>
      </c>
      <c r="AT170" s="4">
        <f>IF(ISBLANK(AM170),0,VLOOKUP(AM170,SpellbooksOwned!$A$1:$B$49,2,FALSE))</f>
        <v>0</v>
      </c>
      <c r="AU170" s="4">
        <f>IF(ISBLANK(AN170),0,VLOOKUP(AN170,SpellbooksOwned!$A$1:$B$49,2,FALSE))</f>
        <v>0</v>
      </c>
      <c r="AV170" s="4">
        <f t="shared" si="83"/>
        <v>166</v>
      </c>
      <c r="AW170" s="26">
        <f t="shared" si="84"/>
        <v>100</v>
      </c>
      <c r="AX170" s="29">
        <f t="shared" si="103"/>
        <v>0.9985109323648599</v>
      </c>
      <c r="AY170" s="4" t="str">
        <f t="shared" si="104"/>
        <v>Useless</v>
      </c>
      <c r="AZ170" s="4"/>
    </row>
    <row r="171" spans="1:52" ht="12.75">
      <c r="A171" s="4" t="s">
        <v>249</v>
      </c>
      <c r="B171" s="4">
        <v>6</v>
      </c>
      <c r="C171" s="4" t="s">
        <v>374</v>
      </c>
      <c r="D171" s="4" t="s">
        <v>383</v>
      </c>
      <c r="F171" s="4">
        <f t="shared" si="95"/>
        <v>1</v>
      </c>
      <c r="G171" s="4">
        <f t="shared" si="96"/>
        <v>1</v>
      </c>
      <c r="H171" s="4">
        <f t="shared" si="97"/>
      </c>
      <c r="I171" s="4">
        <f t="shared" si="75"/>
        <v>11</v>
      </c>
      <c r="J171" s="4">
        <f t="shared" si="98"/>
        <v>0</v>
      </c>
      <c r="K171" s="4">
        <f t="shared" si="99"/>
        <v>0</v>
      </c>
      <c r="L171" s="4">
        <f t="shared" si="86"/>
      </c>
      <c r="M171" s="4" t="str">
        <f t="shared" si="87"/>
        <v>Earth</v>
      </c>
      <c r="N171" s="4">
        <f t="shared" si="88"/>
        <v>0</v>
      </c>
      <c r="O171" s="4">
        <f t="shared" si="89"/>
        <v>0</v>
      </c>
      <c r="P171" s="4">
        <f t="shared" si="100"/>
      </c>
      <c r="Q171" s="4">
        <f t="shared" si="90"/>
        <v>0</v>
      </c>
      <c r="R171" s="4">
        <f t="shared" si="79"/>
      </c>
      <c r="S171" s="4">
        <f t="shared" si="91"/>
        <v>0</v>
      </c>
      <c r="T171" s="4">
        <f t="shared" si="92"/>
        <v>1</v>
      </c>
      <c r="U171" s="5">
        <f t="shared" si="105"/>
        <v>15</v>
      </c>
      <c r="V171" s="5">
        <f t="shared" si="101"/>
        <v>15</v>
      </c>
      <c r="X171" s="5">
        <f t="shared" si="81"/>
        <v>15</v>
      </c>
      <c r="AE171" s="4" t="s">
        <v>255</v>
      </c>
      <c r="AH171" s="4" t="e">
        <f t="shared" si="102"/>
        <v>#N/A</v>
      </c>
      <c r="AI171" s="4" t="s">
        <v>351</v>
      </c>
      <c r="AP171" s="4" t="e">
        <f>IF(ISBLANK(AI171),0,VLOOKUP(AI171,SpellbooksOwned!$A$1:$B$49,2,FALSE))</f>
        <v>#N/A</v>
      </c>
      <c r="AQ171" s="4">
        <f>IF(ISBLANK(AJ171),0,VLOOKUP(AJ171,SpellbooksOwned!$A$1:$B$49,2,FALSE))</f>
        <v>0</v>
      </c>
      <c r="AR171" s="4">
        <f>IF(ISBLANK(AK171),0,VLOOKUP(AK171,SpellbooksOwned!$A$1:$B$49,2,FALSE))</f>
        <v>0</v>
      </c>
      <c r="AS171" s="4">
        <f>IF(ISBLANK(AL171),0,VLOOKUP(AL171,SpellbooksOwned!$A$1:$B$49,2,FALSE))</f>
        <v>0</v>
      </c>
      <c r="AT171" s="4">
        <f>IF(ISBLANK(AM171),0,VLOOKUP(AM171,SpellbooksOwned!$A$1:$B$49,2,FALSE))</f>
        <v>0</v>
      </c>
      <c r="AU171" s="4">
        <f>IF(ISBLANK(AN171),0,VLOOKUP(AN171,SpellbooksOwned!$A$1:$B$49,2,FALSE))</f>
        <v>0</v>
      </c>
      <c r="AV171" s="4">
        <f t="shared" si="83"/>
        <v>116</v>
      </c>
      <c r="AW171" s="26">
        <f t="shared" si="84"/>
        <v>100</v>
      </c>
      <c r="AX171" s="29">
        <f t="shared" si="103"/>
        <v>0.9985109323648599</v>
      </c>
      <c r="AY171" s="4" t="str">
        <f t="shared" si="104"/>
        <v>Useless</v>
      </c>
      <c r="AZ171" s="4"/>
    </row>
    <row r="172" spans="1:52" ht="12.75">
      <c r="A172" s="4" t="s">
        <v>246</v>
      </c>
      <c r="B172" s="4">
        <v>1</v>
      </c>
      <c r="C172" s="4" t="s">
        <v>391</v>
      </c>
      <c r="F172" s="4">
        <f t="shared" si="95"/>
        <v>1</v>
      </c>
      <c r="G172" s="4">
        <f t="shared" si="96"/>
      </c>
      <c r="H172" s="4">
        <f t="shared" si="97"/>
      </c>
      <c r="I172" s="4">
        <f t="shared" si="75"/>
        <v>11</v>
      </c>
      <c r="J172" s="4">
        <f t="shared" si="98"/>
        <v>0</v>
      </c>
      <c r="K172" s="4">
        <f t="shared" si="99"/>
      </c>
      <c r="L172" s="4">
        <f t="shared" si="86"/>
      </c>
      <c r="M172" s="4">
        <f t="shared" si="87"/>
        <v>0</v>
      </c>
      <c r="N172" s="4">
        <f t="shared" si="88"/>
      </c>
      <c r="O172" s="4">
        <f t="shared" si="89"/>
        <v>0</v>
      </c>
      <c r="P172" s="4">
        <f t="shared" si="100"/>
      </c>
      <c r="Q172" s="4">
        <f t="shared" si="90"/>
        <v>0</v>
      </c>
      <c r="R172" s="4">
        <f t="shared" si="79"/>
      </c>
      <c r="S172" s="4">
        <f t="shared" si="91"/>
        <v>0</v>
      </c>
      <c r="T172" s="4">
        <f t="shared" si="92"/>
        <v>1</v>
      </c>
      <c r="U172" s="5">
        <f t="shared" si="105"/>
        <v>15</v>
      </c>
      <c r="V172" s="5">
        <f t="shared" si="101"/>
        <v>15</v>
      </c>
      <c r="X172" s="5">
        <f t="shared" si="81"/>
        <v>15</v>
      </c>
      <c r="AE172" s="4" t="s">
        <v>254</v>
      </c>
      <c r="AH172" s="4" t="e">
        <f t="shared" si="102"/>
        <v>#N/A</v>
      </c>
      <c r="AI172" s="4" t="s">
        <v>79</v>
      </c>
      <c r="AP172" s="4" t="e">
        <f>IF(ISBLANK(AI172),0,VLOOKUP(AI172,SpellbooksOwned!$A$1:$B$49,2,FALSE))</f>
        <v>#N/A</v>
      </c>
      <c r="AQ172" s="4">
        <f>IF(ISBLANK(AJ172),0,VLOOKUP(AJ172,SpellbooksOwned!$A$1:$B$49,2,FALSE))</f>
        <v>0</v>
      </c>
      <c r="AR172" s="4">
        <f>IF(ISBLANK(AK172),0,VLOOKUP(AK172,SpellbooksOwned!$A$1:$B$49,2,FALSE))</f>
        <v>0</v>
      </c>
      <c r="AS172" s="4">
        <f>IF(ISBLANK(AL172),0,VLOOKUP(AL172,SpellbooksOwned!$A$1:$B$49,2,FALSE))</f>
        <v>0</v>
      </c>
      <c r="AT172" s="4">
        <f>IF(ISBLANK(AM172),0,VLOOKUP(AM172,SpellbooksOwned!$A$1:$B$49,2,FALSE))</f>
        <v>0</v>
      </c>
      <c r="AU172" s="4">
        <f>IF(ISBLANK(AN172),0,VLOOKUP(AN172,SpellbooksOwned!$A$1:$B$49,2,FALSE))</f>
        <v>0</v>
      </c>
      <c r="AV172" s="4">
        <f t="shared" si="83"/>
        <v>-31</v>
      </c>
      <c r="AW172" s="26">
        <f t="shared" si="84"/>
        <v>18</v>
      </c>
      <c r="AX172" s="29">
        <f t="shared" si="103"/>
        <v>0.025587989795647026</v>
      </c>
      <c r="AY172" s="4" t="str">
        <f t="shared" si="104"/>
        <v>Great</v>
      </c>
      <c r="AZ172" s="4"/>
    </row>
    <row r="173" spans="1:52" ht="12.75">
      <c r="A173" s="11" t="s">
        <v>237</v>
      </c>
      <c r="B173" s="10">
        <v>1</v>
      </c>
      <c r="C173" s="4" t="s">
        <v>359</v>
      </c>
      <c r="F173" s="4">
        <f t="shared" si="95"/>
        <v>1</v>
      </c>
      <c r="G173" s="4">
        <f t="shared" si="96"/>
      </c>
      <c r="H173" s="4">
        <f t="shared" si="97"/>
      </c>
      <c r="I173" s="4">
        <f t="shared" si="75"/>
        <v>11</v>
      </c>
      <c r="J173" s="4">
        <f t="shared" si="98"/>
        <v>0</v>
      </c>
      <c r="K173" s="4">
        <f t="shared" si="99"/>
      </c>
      <c r="L173" s="4">
        <f t="shared" si="86"/>
      </c>
      <c r="M173" s="4">
        <f t="shared" si="87"/>
        <v>0</v>
      </c>
      <c r="N173" s="4">
        <f t="shared" si="88"/>
      </c>
      <c r="O173" s="4">
        <f t="shared" si="89"/>
        <v>0</v>
      </c>
      <c r="P173" s="4">
        <f t="shared" si="100"/>
      </c>
      <c r="Q173" s="4">
        <f t="shared" si="90"/>
        <v>0</v>
      </c>
      <c r="R173" s="4">
        <f t="shared" si="79"/>
      </c>
      <c r="S173" s="4">
        <f t="shared" si="91"/>
        <v>0</v>
      </c>
      <c r="T173" s="4">
        <f t="shared" si="92"/>
        <v>1</v>
      </c>
      <c r="U173" s="5">
        <f t="shared" si="105"/>
        <v>15</v>
      </c>
      <c r="V173" s="5">
        <f t="shared" si="101"/>
        <v>15</v>
      </c>
      <c r="X173" s="5">
        <f t="shared" si="81"/>
        <v>15</v>
      </c>
      <c r="AE173" s="4" t="s">
        <v>267</v>
      </c>
      <c r="AH173" s="4" t="e">
        <f t="shared" si="102"/>
        <v>#N/A</v>
      </c>
      <c r="AI173" s="4" t="s">
        <v>79</v>
      </c>
      <c r="AP173" s="4" t="e">
        <f>IF(ISBLANK(AI173),0,VLOOKUP(AI173,SpellbooksOwned!$A$1:$B$49,2,FALSE))</f>
        <v>#N/A</v>
      </c>
      <c r="AQ173" s="4">
        <f>IF(ISBLANK(AJ173),0,VLOOKUP(AJ173,SpellbooksOwned!$A$1:$B$49,2,FALSE))</f>
        <v>0</v>
      </c>
      <c r="AR173" s="4">
        <f>IF(ISBLANK(AK173),0,VLOOKUP(AK173,SpellbooksOwned!$A$1:$B$49,2,FALSE))</f>
        <v>0</v>
      </c>
      <c r="AS173" s="4">
        <f>IF(ISBLANK(AL173),0,VLOOKUP(AL173,SpellbooksOwned!$A$1:$B$49,2,FALSE))</f>
        <v>0</v>
      </c>
      <c r="AT173" s="4">
        <f>IF(ISBLANK(AM173),0,VLOOKUP(AM173,SpellbooksOwned!$A$1:$B$49,2,FALSE))</f>
        <v>0</v>
      </c>
      <c r="AU173" s="4">
        <f>IF(ISBLANK(AN173),0,VLOOKUP(AN173,SpellbooksOwned!$A$1:$B$49,2,FALSE))</f>
        <v>0</v>
      </c>
      <c r="AV173" s="4">
        <f t="shared" si="83"/>
        <v>-31</v>
      </c>
      <c r="AW173" s="26">
        <f t="shared" si="84"/>
        <v>18</v>
      </c>
      <c r="AX173" s="29">
        <f t="shared" si="103"/>
        <v>0.025587989795647026</v>
      </c>
      <c r="AY173" s="4" t="str">
        <f t="shared" si="104"/>
        <v>Great</v>
      </c>
      <c r="AZ173" s="4"/>
    </row>
    <row r="174" spans="1:52" ht="12.75">
      <c r="A174" s="4" t="s">
        <v>245</v>
      </c>
      <c r="B174" s="4">
        <v>1</v>
      </c>
      <c r="C174" s="4" t="s">
        <v>458</v>
      </c>
      <c r="F174" s="4">
        <f t="shared" si="95"/>
        <v>1</v>
      </c>
      <c r="G174" s="4">
        <f t="shared" si="96"/>
      </c>
      <c r="H174" s="4">
        <f t="shared" si="97"/>
      </c>
      <c r="I174" s="4">
        <f t="shared" si="75"/>
        <v>11</v>
      </c>
      <c r="J174" s="4">
        <f t="shared" si="98"/>
        <v>0</v>
      </c>
      <c r="K174" s="4">
        <f t="shared" si="99"/>
      </c>
      <c r="L174" s="4">
        <f t="shared" si="86"/>
      </c>
      <c r="M174" s="4">
        <f t="shared" si="87"/>
        <v>0</v>
      </c>
      <c r="N174" s="4">
        <f t="shared" si="88"/>
      </c>
      <c r="O174" s="4">
        <f t="shared" si="89"/>
        <v>0</v>
      </c>
      <c r="P174" s="4">
        <f t="shared" si="100"/>
      </c>
      <c r="Q174" s="4">
        <f t="shared" si="90"/>
        <v>0</v>
      </c>
      <c r="R174" s="4">
        <f t="shared" si="79"/>
      </c>
      <c r="S174" s="4">
        <f t="shared" si="91"/>
        <v>0</v>
      </c>
      <c r="T174" s="4">
        <f t="shared" si="92"/>
        <v>1</v>
      </c>
      <c r="U174" s="5">
        <f t="shared" si="105"/>
        <v>15</v>
      </c>
      <c r="V174" s="5">
        <f t="shared" si="101"/>
        <v>15</v>
      </c>
      <c r="X174" s="5">
        <f t="shared" si="81"/>
        <v>15</v>
      </c>
      <c r="AE174" s="4" t="s">
        <v>262</v>
      </c>
      <c r="AH174" s="4" t="e">
        <f t="shared" si="102"/>
        <v>#N/A</v>
      </c>
      <c r="AI174" s="4" t="s">
        <v>79</v>
      </c>
      <c r="AP174" s="4" t="e">
        <f>IF(ISBLANK(AI174),0,VLOOKUP(AI174,SpellbooksOwned!$A$1:$B$49,2,FALSE))</f>
        <v>#N/A</v>
      </c>
      <c r="AQ174" s="4">
        <f>IF(ISBLANK(AJ174),0,VLOOKUP(AJ174,SpellbooksOwned!$A$1:$B$49,2,FALSE))</f>
        <v>0</v>
      </c>
      <c r="AR174" s="4">
        <f>IF(ISBLANK(AK174),0,VLOOKUP(AK174,SpellbooksOwned!$A$1:$B$49,2,FALSE))</f>
        <v>0</v>
      </c>
      <c r="AS174" s="4">
        <f>IF(ISBLANK(AL174),0,VLOOKUP(AL174,SpellbooksOwned!$A$1:$B$49,2,FALSE))</f>
        <v>0</v>
      </c>
      <c r="AT174" s="4">
        <f>IF(ISBLANK(AM174),0,VLOOKUP(AM174,SpellbooksOwned!$A$1:$B$49,2,FALSE))</f>
        <v>0</v>
      </c>
      <c r="AU174" s="4">
        <f>IF(ISBLANK(AN174),0,VLOOKUP(AN174,SpellbooksOwned!$A$1:$B$49,2,FALSE))</f>
        <v>0</v>
      </c>
      <c r="AV174" s="4">
        <f t="shared" si="83"/>
        <v>-31</v>
      </c>
      <c r="AW174" s="26">
        <f t="shared" si="84"/>
        <v>18</v>
      </c>
      <c r="AX174" s="29">
        <f t="shared" si="103"/>
        <v>0.025587989795647026</v>
      </c>
      <c r="AY174" s="4" t="str">
        <f t="shared" si="104"/>
        <v>Great</v>
      </c>
      <c r="AZ174" s="4"/>
    </row>
    <row r="175" spans="1:52" ht="12.75">
      <c r="A175" s="4" t="s">
        <v>419</v>
      </c>
      <c r="B175" s="4">
        <v>1</v>
      </c>
      <c r="C175" s="4" t="s">
        <v>383</v>
      </c>
      <c r="F175" s="4">
        <f t="shared" si="95"/>
        <v>1</v>
      </c>
      <c r="G175" s="4">
        <f t="shared" si="96"/>
      </c>
      <c r="H175" s="4">
        <f t="shared" si="97"/>
      </c>
      <c r="I175" s="4">
        <f t="shared" si="75"/>
        <v>11</v>
      </c>
      <c r="J175" s="4">
        <f t="shared" si="98"/>
        <v>0</v>
      </c>
      <c r="K175" s="4">
        <f t="shared" si="99"/>
      </c>
      <c r="L175" s="4">
        <f t="shared" si="86"/>
      </c>
      <c r="M175" s="4">
        <f t="shared" si="87"/>
        <v>0</v>
      </c>
      <c r="N175" s="4">
        <f t="shared" si="88"/>
      </c>
      <c r="O175" s="4">
        <f t="shared" si="89"/>
        <v>0</v>
      </c>
      <c r="P175" s="4">
        <f t="shared" si="100"/>
      </c>
      <c r="Q175" s="4">
        <f t="shared" si="90"/>
        <v>0</v>
      </c>
      <c r="R175" s="4">
        <f t="shared" si="79"/>
      </c>
      <c r="S175" s="4">
        <f t="shared" si="91"/>
        <v>0</v>
      </c>
      <c r="T175" s="4">
        <f t="shared" si="92"/>
        <v>1</v>
      </c>
      <c r="U175" s="5">
        <f aca="true" t="shared" si="106" ref="U175:U191">INT(INT(I175*T175)*Intelligence/10)</f>
        <v>15</v>
      </c>
      <c r="V175" s="5">
        <f t="shared" si="101"/>
        <v>15</v>
      </c>
      <c r="W175" s="5">
        <v>25</v>
      </c>
      <c r="X175" s="5">
        <f t="shared" si="81"/>
        <v>15</v>
      </c>
      <c r="Y175" s="6">
        <f>1*(4+INT(X175/5)+1)/2</f>
        <v>4</v>
      </c>
      <c r="Z175" s="5" t="s">
        <v>932</v>
      </c>
      <c r="AB175" s="5">
        <v>1</v>
      </c>
      <c r="AD175" s="6" t="s">
        <v>354</v>
      </c>
      <c r="AE175" s="4" t="s">
        <v>345</v>
      </c>
      <c r="AF175" s="4" t="s">
        <v>952</v>
      </c>
      <c r="AH175" s="4" t="e">
        <f t="shared" si="102"/>
        <v>#N/A</v>
      </c>
      <c r="AI175" s="4" t="s">
        <v>351</v>
      </c>
      <c r="AP175" s="4" t="e">
        <f>IF(ISBLANK(AI175),0,VLOOKUP(AI175,SpellbooksOwned!$A$1:$B$49,2,FALSE))</f>
        <v>#N/A</v>
      </c>
      <c r="AQ175" s="4">
        <f>IF(ISBLANK(AJ175),0,VLOOKUP(AJ175,SpellbooksOwned!$A$1:$B$49,2,FALSE))</f>
        <v>0</v>
      </c>
      <c r="AR175" s="4">
        <f>IF(ISBLANK(AK175),0,VLOOKUP(AK175,SpellbooksOwned!$A$1:$B$49,2,FALSE))</f>
        <v>0</v>
      </c>
      <c r="AS175" s="4">
        <f>IF(ISBLANK(AL175),0,VLOOKUP(AL175,SpellbooksOwned!$A$1:$B$49,2,FALSE))</f>
        <v>0</v>
      </c>
      <c r="AT175" s="4">
        <f>IF(ISBLANK(AM175),0,VLOOKUP(AM175,SpellbooksOwned!$A$1:$B$49,2,FALSE))</f>
        <v>0</v>
      </c>
      <c r="AU175" s="4">
        <f>IF(ISBLANK(AN175),0,VLOOKUP(AN175,SpellbooksOwned!$A$1:$B$49,2,FALSE))</f>
        <v>0</v>
      </c>
      <c r="AV175" s="4">
        <f t="shared" si="83"/>
        <v>-31</v>
      </c>
      <c r="AW175" s="26">
        <f t="shared" si="84"/>
        <v>18</v>
      </c>
      <c r="AX175" s="29">
        <f t="shared" si="103"/>
        <v>0.025587989795647026</v>
      </c>
      <c r="AY175" s="4" t="str">
        <f t="shared" si="104"/>
        <v>Great</v>
      </c>
      <c r="AZ175" s="4"/>
    </row>
    <row r="176" spans="1:52" ht="12.75">
      <c r="A176" s="4" t="s">
        <v>248</v>
      </c>
      <c r="B176" s="4">
        <v>4</v>
      </c>
      <c r="C176" s="4" t="s">
        <v>373</v>
      </c>
      <c r="D176" s="4" t="s">
        <v>383</v>
      </c>
      <c r="F176" s="4">
        <f t="shared" si="95"/>
        <v>1</v>
      </c>
      <c r="G176" s="4">
        <f t="shared" si="96"/>
        <v>1</v>
      </c>
      <c r="H176" s="4">
        <f t="shared" si="97"/>
      </c>
      <c r="I176" s="4">
        <f t="shared" si="75"/>
        <v>11</v>
      </c>
      <c r="J176" s="4">
        <f t="shared" si="98"/>
        <v>0</v>
      </c>
      <c r="K176" s="4">
        <f t="shared" si="99"/>
        <v>0</v>
      </c>
      <c r="L176" s="4">
        <f t="shared" si="86"/>
      </c>
      <c r="M176" s="4" t="str">
        <f t="shared" si="87"/>
        <v>Air</v>
      </c>
      <c r="N176" s="4">
        <f t="shared" si="88"/>
        <v>0</v>
      </c>
      <c r="O176" s="4">
        <f t="shared" si="89"/>
        <v>0</v>
      </c>
      <c r="P176" s="4">
        <f t="shared" si="100"/>
      </c>
      <c r="Q176" s="4">
        <f t="shared" si="90"/>
        <v>0</v>
      </c>
      <c r="R176" s="4">
        <f t="shared" si="79"/>
      </c>
      <c r="S176" s="4">
        <f t="shared" si="91"/>
        <v>0</v>
      </c>
      <c r="T176" s="4">
        <f t="shared" si="92"/>
        <v>1</v>
      </c>
      <c r="U176" s="5">
        <f>INT(INT(I176*T176)*Intelligence/10)</f>
        <v>15</v>
      </c>
      <c r="V176" s="5">
        <f t="shared" si="101"/>
        <v>15</v>
      </c>
      <c r="X176" s="5">
        <f t="shared" si="81"/>
        <v>15</v>
      </c>
      <c r="AE176" s="4" t="s">
        <v>261</v>
      </c>
      <c r="AH176" s="4" t="e">
        <f t="shared" si="102"/>
        <v>#N/A</v>
      </c>
      <c r="AI176" s="4" t="s">
        <v>353</v>
      </c>
      <c r="AP176" s="4" t="e">
        <f>IF(ISBLANK(AI176),0,VLOOKUP(AI176,SpellbooksOwned!$A$1:$B$49,2,FALSE))</f>
        <v>#N/A</v>
      </c>
      <c r="AQ176" s="4">
        <f>IF(ISBLANK(AJ176),0,VLOOKUP(AJ176,SpellbooksOwned!$A$1:$B$49,2,FALSE))</f>
        <v>0</v>
      </c>
      <c r="AR176" s="4">
        <f>IF(ISBLANK(AK176),0,VLOOKUP(AK176,SpellbooksOwned!$A$1:$B$49,2,FALSE))</f>
        <v>0</v>
      </c>
      <c r="AS176" s="4">
        <f>IF(ISBLANK(AL176),0,VLOOKUP(AL176,SpellbooksOwned!$A$1:$B$49,2,FALSE))</f>
        <v>0</v>
      </c>
      <c r="AT176" s="4">
        <f>IF(ISBLANK(AM176),0,VLOOKUP(AM176,SpellbooksOwned!$A$1:$B$49,2,FALSE))</f>
        <v>0</v>
      </c>
      <c r="AU176" s="4">
        <f>IF(ISBLANK(AN176),0,VLOOKUP(AN176,SpellbooksOwned!$A$1:$B$49,2,FALSE))</f>
        <v>0</v>
      </c>
      <c r="AV176" s="4">
        <f t="shared" si="83"/>
        <v>36</v>
      </c>
      <c r="AW176" s="26">
        <f t="shared" si="84"/>
        <v>41</v>
      </c>
      <c r="AX176" s="29">
        <f t="shared" si="103"/>
        <v>0.28433880816463963</v>
      </c>
      <c r="AY176" s="4" t="str">
        <f t="shared" si="104"/>
        <v>Fair</v>
      </c>
      <c r="AZ176" s="4"/>
    </row>
    <row r="177" spans="1:52" ht="12.75">
      <c r="A177" s="4" t="s">
        <v>253</v>
      </c>
      <c r="B177" s="4">
        <v>3</v>
      </c>
      <c r="C177" s="4" t="s">
        <v>391</v>
      </c>
      <c r="F177" s="4">
        <f t="shared" si="95"/>
        <v>1</v>
      </c>
      <c r="G177" s="4">
        <f t="shared" si="96"/>
      </c>
      <c r="H177" s="4">
        <f t="shared" si="97"/>
      </c>
      <c r="I177" s="4">
        <f>INT(Spellcasting/2)+INT(2*AVERAGE(F177:H177))+3*RingOfWizardry+4*StaffOfWizardry+2*RobeOfTheArchmagi</f>
        <v>11</v>
      </c>
      <c r="J177" s="4">
        <f t="shared" si="98"/>
        <v>0</v>
      </c>
      <c r="K177" s="4">
        <f t="shared" si="99"/>
      </c>
      <c r="L177" s="4">
        <f t="shared" si="86"/>
      </c>
      <c r="M177" s="4">
        <f t="shared" si="87"/>
        <v>0</v>
      </c>
      <c r="N177" s="4">
        <f t="shared" si="88"/>
      </c>
      <c r="O177" s="4">
        <f t="shared" si="89"/>
        <v>0</v>
      </c>
      <c r="P177" s="4">
        <f t="shared" si="100"/>
      </c>
      <c r="Q177" s="4">
        <f t="shared" si="90"/>
        <v>0</v>
      </c>
      <c r="R177" s="4">
        <f t="shared" si="79"/>
      </c>
      <c r="S177" s="4">
        <f t="shared" si="91"/>
        <v>0</v>
      </c>
      <c r="T177" s="4">
        <f t="shared" si="92"/>
        <v>1</v>
      </c>
      <c r="U177" s="5">
        <f>INT(INT(I177*T177)*Intelligence/10)</f>
        <v>15</v>
      </c>
      <c r="V177" s="5">
        <f t="shared" si="101"/>
        <v>15</v>
      </c>
      <c r="X177" s="5">
        <f>MIN(V177:W177)</f>
        <v>15</v>
      </c>
      <c r="AE177" s="4" t="s">
        <v>259</v>
      </c>
      <c r="AH177" s="4" t="e">
        <f t="shared" si="102"/>
        <v>#N/A</v>
      </c>
      <c r="AI177" s="4" t="s">
        <v>79</v>
      </c>
      <c r="AP177" s="4" t="e">
        <f>IF(ISBLANK(AI177),0,VLOOKUP(AI177,SpellbooksOwned!$A$1:$B$49,2,FALSE))</f>
        <v>#N/A</v>
      </c>
      <c r="AQ177" s="4">
        <f>IF(ISBLANK(AJ177),0,VLOOKUP(AJ177,SpellbooksOwned!$A$1:$B$49,2,FALSE))</f>
        <v>0</v>
      </c>
      <c r="AR177" s="4">
        <f>IF(ISBLANK(AK177),0,VLOOKUP(AK177,SpellbooksOwned!$A$1:$B$49,2,FALSE))</f>
        <v>0</v>
      </c>
      <c r="AS177" s="4">
        <f>IF(ISBLANK(AL177),0,VLOOKUP(AL177,SpellbooksOwned!$A$1:$B$49,2,FALSE))</f>
        <v>0</v>
      </c>
      <c r="AT177" s="4">
        <f>IF(ISBLANK(AM177),0,VLOOKUP(AM177,SpellbooksOwned!$A$1:$B$49,2,FALSE))</f>
        <v>0</v>
      </c>
      <c r="AU177" s="4">
        <f>IF(ISBLANK(AN177),0,VLOOKUP(AN177,SpellbooksOwned!$A$1:$B$49,2,FALSE))</f>
        <v>0</v>
      </c>
      <c r="AV177" s="4">
        <f t="shared" si="83"/>
        <v>1</v>
      </c>
      <c r="AW177" s="26">
        <f t="shared" si="84"/>
        <v>28</v>
      </c>
      <c r="AX177" s="29">
        <f t="shared" si="103"/>
        <v>0.08850805170850018</v>
      </c>
      <c r="AY177" s="4" t="str">
        <f t="shared" si="104"/>
        <v>Very Good</v>
      </c>
      <c r="AZ177" s="4"/>
    </row>
    <row r="178" spans="1:52" ht="12.75">
      <c r="A178" s="4" t="s">
        <v>247</v>
      </c>
      <c r="B178" s="4">
        <v>5</v>
      </c>
      <c r="C178" s="4" t="s">
        <v>359</v>
      </c>
      <c r="F178" s="4">
        <f t="shared" si="95"/>
        <v>1</v>
      </c>
      <c r="G178" s="4">
        <f t="shared" si="96"/>
      </c>
      <c r="H178" s="4">
        <f t="shared" si="97"/>
      </c>
      <c r="I178" s="4">
        <f aca="true" t="shared" si="107" ref="I178:I191">INT(Spellcasting/2)+INT(2*AVERAGE(F178:H178))+3*RingOfWizardry+4*StaffOfWizardry+2*RobeOfTheArchmagi</f>
        <v>11</v>
      </c>
      <c r="J178" s="4">
        <f t="shared" si="98"/>
        <v>0</v>
      </c>
      <c r="K178" s="4">
        <f t="shared" si="99"/>
      </c>
      <c r="L178" s="4">
        <f t="shared" si="86"/>
      </c>
      <c r="M178" s="4">
        <f t="shared" si="87"/>
        <v>0</v>
      </c>
      <c r="N178" s="4">
        <f t="shared" si="88"/>
      </c>
      <c r="O178" s="4">
        <f t="shared" si="89"/>
        <v>0</v>
      </c>
      <c r="P178" s="4">
        <f t="shared" si="100"/>
      </c>
      <c r="Q178" s="4">
        <f t="shared" si="90"/>
        <v>0</v>
      </c>
      <c r="R178" s="4">
        <f t="shared" si="79"/>
      </c>
      <c r="S178" s="4">
        <f t="shared" si="91"/>
        <v>0</v>
      </c>
      <c r="T178" s="4">
        <f t="shared" si="92"/>
        <v>1</v>
      </c>
      <c r="U178" s="5">
        <f t="shared" si="106"/>
        <v>15</v>
      </c>
      <c r="V178" s="5">
        <f t="shared" si="101"/>
        <v>15</v>
      </c>
      <c r="X178" s="5">
        <f aca="true" t="shared" si="108" ref="X178:X191">MIN(V178:W178)</f>
        <v>15</v>
      </c>
      <c r="AE178" s="4" t="s">
        <v>260</v>
      </c>
      <c r="AH178" s="4" t="e">
        <f t="shared" si="102"/>
        <v>#N/A</v>
      </c>
      <c r="AI178" s="4" t="s">
        <v>79</v>
      </c>
      <c r="AP178" s="4" t="e">
        <f>IF(ISBLANK(AI178),0,VLOOKUP(AI178,SpellbooksOwned!$A$1:$B$49,2,FALSE))</f>
        <v>#N/A</v>
      </c>
      <c r="AQ178" s="4">
        <f>IF(ISBLANK(AJ178),0,VLOOKUP(AJ178,SpellbooksOwned!$A$1:$B$49,2,FALSE))</f>
        <v>0</v>
      </c>
      <c r="AR178" s="4">
        <f>IF(ISBLANK(AK178),0,VLOOKUP(AK178,SpellbooksOwned!$A$1:$B$49,2,FALSE))</f>
        <v>0</v>
      </c>
      <c r="AS178" s="4">
        <f>IF(ISBLANK(AL178),0,VLOOKUP(AL178,SpellbooksOwned!$A$1:$B$49,2,FALSE))</f>
        <v>0</v>
      </c>
      <c r="AT178" s="4">
        <f>IF(ISBLANK(AM178),0,VLOOKUP(AM178,SpellbooksOwned!$A$1:$B$49,2,FALSE))</f>
        <v>0</v>
      </c>
      <c r="AU178" s="4">
        <f>IF(ISBLANK(AN178),0,VLOOKUP(AN178,SpellbooksOwned!$A$1:$B$49,2,FALSE))</f>
        <v>0</v>
      </c>
      <c r="AV178" s="4">
        <f t="shared" si="83"/>
        <v>66</v>
      </c>
      <c r="AW178" s="26">
        <f t="shared" si="84"/>
        <v>66</v>
      </c>
      <c r="AX178" s="29">
        <f t="shared" si="103"/>
        <v>0.8238144797733274</v>
      </c>
      <c r="AY178" s="4" t="str">
        <f t="shared" si="104"/>
        <v>Very Poor</v>
      </c>
      <c r="AZ178" s="4"/>
    </row>
    <row r="179" spans="1:52" ht="12.75">
      <c r="A179" s="4" t="s">
        <v>250</v>
      </c>
      <c r="B179" s="4">
        <v>5</v>
      </c>
      <c r="C179" s="4" t="s">
        <v>371</v>
      </c>
      <c r="D179" s="4" t="s">
        <v>383</v>
      </c>
      <c r="F179" s="4">
        <f t="shared" si="95"/>
        <v>1</v>
      </c>
      <c r="G179" s="4">
        <f t="shared" si="96"/>
        <v>1</v>
      </c>
      <c r="H179" s="4">
        <f t="shared" si="97"/>
      </c>
      <c r="I179" s="4">
        <f t="shared" si="107"/>
        <v>11</v>
      </c>
      <c r="J179" s="4">
        <f t="shared" si="98"/>
        <v>0</v>
      </c>
      <c r="K179" s="4">
        <f t="shared" si="99"/>
        <v>0</v>
      </c>
      <c r="L179" s="4">
        <f t="shared" si="86"/>
      </c>
      <c r="M179" s="4">
        <f t="shared" si="87"/>
        <v>0</v>
      </c>
      <c r="N179" s="4">
        <f t="shared" si="88"/>
      </c>
      <c r="O179" s="4">
        <f t="shared" si="89"/>
        <v>0</v>
      </c>
      <c r="P179" s="4">
        <f t="shared" si="100"/>
      </c>
      <c r="Q179" s="4">
        <f t="shared" si="90"/>
        <v>0</v>
      </c>
      <c r="R179" s="4">
        <f t="shared" si="79"/>
      </c>
      <c r="S179" s="4">
        <f t="shared" si="91"/>
        <v>0</v>
      </c>
      <c r="T179" s="4">
        <f t="shared" si="92"/>
        <v>1</v>
      </c>
      <c r="U179" s="5">
        <f t="shared" si="106"/>
        <v>15</v>
      </c>
      <c r="V179" s="5">
        <f t="shared" si="101"/>
        <v>15</v>
      </c>
      <c r="X179" s="5">
        <f t="shared" si="108"/>
        <v>15</v>
      </c>
      <c r="AE179" s="4" t="s">
        <v>257</v>
      </c>
      <c r="AH179" s="4" t="e">
        <f t="shared" si="102"/>
        <v>#N/A</v>
      </c>
      <c r="AI179" s="4" t="s">
        <v>79</v>
      </c>
      <c r="AP179" s="4" t="e">
        <f>IF(ISBLANK(AI179),0,VLOOKUP(AI179,SpellbooksOwned!$A$1:$B$49,2,FALSE))</f>
        <v>#N/A</v>
      </c>
      <c r="AQ179" s="4">
        <f>IF(ISBLANK(AJ179),0,VLOOKUP(AJ179,SpellbooksOwned!$A$1:$B$49,2,FALSE))</f>
        <v>0</v>
      </c>
      <c r="AR179" s="4">
        <f>IF(ISBLANK(AK179),0,VLOOKUP(AK179,SpellbooksOwned!$A$1:$B$49,2,FALSE))</f>
        <v>0</v>
      </c>
      <c r="AS179" s="4">
        <f>IF(ISBLANK(AL179),0,VLOOKUP(AL179,SpellbooksOwned!$A$1:$B$49,2,FALSE))</f>
        <v>0</v>
      </c>
      <c r="AT179" s="4">
        <f>IF(ISBLANK(AM179),0,VLOOKUP(AM179,SpellbooksOwned!$A$1:$B$49,2,FALSE))</f>
        <v>0</v>
      </c>
      <c r="AU179" s="4">
        <f>IF(ISBLANK(AN179),0,VLOOKUP(AN179,SpellbooksOwned!$A$1:$B$49,2,FALSE))</f>
        <v>0</v>
      </c>
      <c r="AV179" s="4">
        <f t="shared" si="83"/>
        <v>66</v>
      </c>
      <c r="AW179" s="26">
        <f t="shared" si="84"/>
        <v>66</v>
      </c>
      <c r="AX179" s="29">
        <f t="shared" si="103"/>
        <v>0.8238144797733274</v>
      </c>
      <c r="AY179" s="4" t="str">
        <f t="shared" si="104"/>
        <v>Very Poor</v>
      </c>
      <c r="AZ179" s="4"/>
    </row>
    <row r="180" spans="1:52" ht="12.75">
      <c r="A180" s="4" t="s">
        <v>252</v>
      </c>
      <c r="B180" s="4">
        <v>3</v>
      </c>
      <c r="C180" s="4" t="s">
        <v>391</v>
      </c>
      <c r="F180" s="4">
        <f t="shared" si="95"/>
        <v>1</v>
      </c>
      <c r="G180" s="4">
        <f t="shared" si="96"/>
      </c>
      <c r="H180" s="4">
        <f t="shared" si="97"/>
      </c>
      <c r="I180" s="4">
        <f t="shared" si="107"/>
        <v>11</v>
      </c>
      <c r="J180" s="4">
        <f t="shared" si="98"/>
        <v>0</v>
      </c>
      <c r="K180" s="4">
        <f t="shared" si="99"/>
      </c>
      <c r="L180" s="4">
        <f t="shared" si="86"/>
      </c>
      <c r="M180" s="4">
        <f t="shared" si="87"/>
        <v>0</v>
      </c>
      <c r="N180" s="4">
        <f t="shared" si="88"/>
      </c>
      <c r="O180" s="4">
        <f t="shared" si="89"/>
        <v>0</v>
      </c>
      <c r="P180" s="4">
        <f t="shared" si="100"/>
      </c>
      <c r="Q180" s="4">
        <f t="shared" si="90"/>
        <v>0</v>
      </c>
      <c r="R180" s="4">
        <f t="shared" si="79"/>
      </c>
      <c r="S180" s="4">
        <f t="shared" si="91"/>
        <v>0</v>
      </c>
      <c r="T180" s="4">
        <f t="shared" si="92"/>
        <v>1</v>
      </c>
      <c r="U180" s="5">
        <f t="shared" si="106"/>
        <v>15</v>
      </c>
      <c r="V180" s="5">
        <f t="shared" si="101"/>
        <v>15</v>
      </c>
      <c r="X180" s="5">
        <f t="shared" si="108"/>
        <v>15</v>
      </c>
      <c r="AE180" s="4" t="s">
        <v>258</v>
      </c>
      <c r="AH180" s="4" t="e">
        <f t="shared" si="102"/>
        <v>#N/A</v>
      </c>
      <c r="AI180" s="4" t="s">
        <v>79</v>
      </c>
      <c r="AP180" s="4" t="e">
        <f>IF(ISBLANK(AI180),0,VLOOKUP(AI180,SpellbooksOwned!$A$1:$B$49,2,FALSE))</f>
        <v>#N/A</v>
      </c>
      <c r="AQ180" s="4">
        <f>IF(ISBLANK(AJ180),0,VLOOKUP(AJ180,SpellbooksOwned!$A$1:$B$49,2,FALSE))</f>
        <v>0</v>
      </c>
      <c r="AR180" s="4">
        <f>IF(ISBLANK(AK180),0,VLOOKUP(AK180,SpellbooksOwned!$A$1:$B$49,2,FALSE))</f>
        <v>0</v>
      </c>
      <c r="AS180" s="4">
        <f>IF(ISBLANK(AL180),0,VLOOKUP(AL180,SpellbooksOwned!$A$1:$B$49,2,FALSE))</f>
        <v>0</v>
      </c>
      <c r="AT180" s="4">
        <f>IF(ISBLANK(AM180),0,VLOOKUP(AM180,SpellbooksOwned!$A$1:$B$49,2,FALSE))</f>
        <v>0</v>
      </c>
      <c r="AU180" s="4">
        <f>IF(ISBLANK(AN180),0,VLOOKUP(AN180,SpellbooksOwned!$A$1:$B$49,2,FALSE))</f>
        <v>0</v>
      </c>
      <c r="AV180" s="4">
        <f t="shared" si="83"/>
        <v>1</v>
      </c>
      <c r="AW180" s="26">
        <f t="shared" si="84"/>
        <v>28</v>
      </c>
      <c r="AX180" s="29">
        <f t="shared" si="103"/>
        <v>0.08850805170850018</v>
      </c>
      <c r="AY180" s="4" t="str">
        <f t="shared" si="104"/>
        <v>Very Good</v>
      </c>
      <c r="AZ180" s="4"/>
    </row>
    <row r="181" spans="1:52" ht="12.75">
      <c r="A181" s="4" t="s">
        <v>251</v>
      </c>
      <c r="B181" s="4">
        <v>7</v>
      </c>
      <c r="C181" s="4" t="s">
        <v>371</v>
      </c>
      <c r="D181" s="4" t="s">
        <v>477</v>
      </c>
      <c r="F181" s="4">
        <f t="shared" si="95"/>
        <v>1</v>
      </c>
      <c r="G181" s="4">
        <f t="shared" si="96"/>
        <v>1</v>
      </c>
      <c r="H181" s="4">
        <f t="shared" si="97"/>
      </c>
      <c r="I181" s="4">
        <f t="shared" si="107"/>
        <v>11</v>
      </c>
      <c r="J181" s="4">
        <f t="shared" si="98"/>
        <v>0</v>
      </c>
      <c r="K181" s="4">
        <f t="shared" si="99"/>
        <v>0</v>
      </c>
      <c r="L181" s="4">
        <f t="shared" si="86"/>
      </c>
      <c r="M181" s="4">
        <f t="shared" si="87"/>
        <v>0</v>
      </c>
      <c r="N181" s="4">
        <f t="shared" si="88"/>
      </c>
      <c r="O181" s="4">
        <f t="shared" si="89"/>
        <v>0</v>
      </c>
      <c r="P181" s="4">
        <f t="shared" si="100"/>
      </c>
      <c r="Q181" s="4">
        <f t="shared" si="90"/>
        <v>0</v>
      </c>
      <c r="R181" s="4">
        <f t="shared" si="79"/>
      </c>
      <c r="S181" s="4">
        <f t="shared" si="91"/>
        <v>0</v>
      </c>
      <c r="T181" s="4">
        <f t="shared" si="92"/>
        <v>1</v>
      </c>
      <c r="U181" s="5">
        <f t="shared" si="106"/>
        <v>15</v>
      </c>
      <c r="V181" s="5">
        <f t="shared" si="101"/>
        <v>15</v>
      </c>
      <c r="X181" s="5">
        <f t="shared" si="108"/>
        <v>15</v>
      </c>
      <c r="AE181" s="4" t="s">
        <v>256</v>
      </c>
      <c r="AH181" s="4" t="e">
        <f t="shared" si="102"/>
        <v>#N/A</v>
      </c>
      <c r="AI181" s="4" t="s">
        <v>353</v>
      </c>
      <c r="AP181" s="4" t="e">
        <f>IF(ISBLANK(AI181),0,VLOOKUP(AI181,SpellbooksOwned!$A$1:$B$49,2,FALSE))</f>
        <v>#N/A</v>
      </c>
      <c r="AQ181" s="4">
        <f>IF(ISBLANK(AJ181),0,VLOOKUP(AJ181,SpellbooksOwned!$A$1:$B$49,2,FALSE))</f>
        <v>0</v>
      </c>
      <c r="AR181" s="4">
        <f>IF(ISBLANK(AK181),0,VLOOKUP(AK181,SpellbooksOwned!$A$1:$B$49,2,FALSE))</f>
        <v>0</v>
      </c>
      <c r="AS181" s="4">
        <f>IF(ISBLANK(AL181),0,VLOOKUP(AL181,SpellbooksOwned!$A$1:$B$49,2,FALSE))</f>
        <v>0</v>
      </c>
      <c r="AT181" s="4">
        <f>IF(ISBLANK(AM181),0,VLOOKUP(AM181,SpellbooksOwned!$A$1:$B$49,2,FALSE))</f>
        <v>0</v>
      </c>
      <c r="AU181" s="4">
        <f>IF(ISBLANK(AN181),0,VLOOKUP(AN181,SpellbooksOwned!$A$1:$B$49,2,FALSE))</f>
        <v>0</v>
      </c>
      <c r="AV181" s="4">
        <f t="shared" si="83"/>
        <v>166</v>
      </c>
      <c r="AW181" s="26">
        <f t="shared" si="84"/>
        <v>100</v>
      </c>
      <c r="AX181" s="29">
        <f t="shared" si="103"/>
        <v>0.9985109323648599</v>
      </c>
      <c r="AY181" s="4" t="str">
        <f t="shared" si="104"/>
        <v>Useless</v>
      </c>
      <c r="AZ181" s="4"/>
    </row>
    <row r="182" spans="1:52" ht="12.75">
      <c r="A182" s="4" t="s">
        <v>67</v>
      </c>
      <c r="B182" s="4">
        <v>6</v>
      </c>
      <c r="C182" s="4" t="s">
        <v>359</v>
      </c>
      <c r="D182" s="4" t="s">
        <v>373</v>
      </c>
      <c r="F182" s="4">
        <f t="shared" si="95"/>
        <v>1</v>
      </c>
      <c r="G182" s="4">
        <f t="shared" si="96"/>
        <v>1</v>
      </c>
      <c r="H182" s="4">
        <f t="shared" si="97"/>
      </c>
      <c r="I182" s="4">
        <f t="shared" si="107"/>
        <v>11</v>
      </c>
      <c r="J182" s="4">
        <f t="shared" si="98"/>
        <v>0</v>
      </c>
      <c r="K182" s="4">
        <f t="shared" si="99"/>
        <v>0</v>
      </c>
      <c r="L182" s="4">
        <f t="shared" si="86"/>
      </c>
      <c r="M182" s="4">
        <f t="shared" si="87"/>
        <v>0</v>
      </c>
      <c r="N182" s="4">
        <f t="shared" si="88"/>
      </c>
      <c r="O182" s="4" t="str">
        <f t="shared" si="89"/>
        <v>Air</v>
      </c>
      <c r="P182" s="4">
        <f t="shared" si="100"/>
        <v>0</v>
      </c>
      <c r="Q182" s="4">
        <f t="shared" si="90"/>
        <v>0</v>
      </c>
      <c r="R182" s="4">
        <f t="shared" si="79"/>
      </c>
      <c r="S182" s="4">
        <f t="shared" si="91"/>
        <v>0</v>
      </c>
      <c r="T182" s="4">
        <f t="shared" si="92"/>
        <v>1</v>
      </c>
      <c r="U182" s="5">
        <f t="shared" si="106"/>
        <v>15</v>
      </c>
      <c r="V182" s="5">
        <f t="shared" si="101"/>
        <v>15</v>
      </c>
      <c r="X182" s="5">
        <f t="shared" si="108"/>
        <v>15</v>
      </c>
      <c r="AB182" s="5">
        <f>MIN(100,20+2*(X182+1)/2)-0.5</f>
        <v>35.5</v>
      </c>
      <c r="AC182" s="5">
        <f>5+INT(CharacterProperties!$B$9/2)</f>
        <v>5</v>
      </c>
      <c r="AD182" s="6" t="s">
        <v>331</v>
      </c>
      <c r="AE182" s="4" t="s">
        <v>68</v>
      </c>
      <c r="AH182" s="4" t="e">
        <f t="shared" si="102"/>
        <v>#N/A</v>
      </c>
      <c r="AI182" s="4" t="s">
        <v>351</v>
      </c>
      <c r="AP182" s="4" t="e">
        <f>IF(ISBLANK(AI182),0,VLOOKUP(AI182,SpellbooksOwned!$A$1:$B$49,2,FALSE))</f>
        <v>#N/A</v>
      </c>
      <c r="AQ182" s="4">
        <f>IF(ISBLANK(AJ182),0,VLOOKUP(AJ182,SpellbooksOwned!$A$1:$B$49,2,FALSE))</f>
        <v>0</v>
      </c>
      <c r="AR182" s="4">
        <f>IF(ISBLANK(AK182),0,VLOOKUP(AK182,SpellbooksOwned!$A$1:$B$49,2,FALSE))</f>
        <v>0</v>
      </c>
      <c r="AS182" s="4">
        <f>IF(ISBLANK(AL182),0,VLOOKUP(AL182,SpellbooksOwned!$A$1:$B$49,2,FALSE))</f>
        <v>0</v>
      </c>
      <c r="AT182" s="4">
        <f>IF(ISBLANK(AM182),0,VLOOKUP(AM182,SpellbooksOwned!$A$1:$B$49,2,FALSE))</f>
        <v>0</v>
      </c>
      <c r="AU182" s="4">
        <f>IF(ISBLANK(AN182),0,VLOOKUP(AN182,SpellbooksOwned!$A$1:$B$49,2,FALSE))</f>
        <v>0</v>
      </c>
      <c r="AV182" s="4">
        <f t="shared" si="83"/>
        <v>116</v>
      </c>
      <c r="AW182" s="26">
        <f t="shared" si="84"/>
        <v>100</v>
      </c>
      <c r="AX182" s="29">
        <f t="shared" si="103"/>
        <v>0.9985109323648599</v>
      </c>
      <c r="AY182" s="4" t="str">
        <f t="shared" si="104"/>
        <v>Useless</v>
      </c>
      <c r="AZ182" s="4"/>
    </row>
    <row r="183" spans="1:52" ht="12.75">
      <c r="A183" s="4" t="s">
        <v>244</v>
      </c>
      <c r="B183" s="4">
        <v>9</v>
      </c>
      <c r="C183" s="4" t="s">
        <v>364</v>
      </c>
      <c r="D183" s="4" t="s">
        <v>477</v>
      </c>
      <c r="F183" s="4">
        <f t="shared" si="95"/>
        <v>1</v>
      </c>
      <c r="G183" s="4">
        <f t="shared" si="96"/>
        <v>1</v>
      </c>
      <c r="H183" s="4">
        <f t="shared" si="97"/>
      </c>
      <c r="I183" s="4">
        <f t="shared" si="107"/>
        <v>11</v>
      </c>
      <c r="J183" s="4">
        <f t="shared" si="98"/>
        <v>0</v>
      </c>
      <c r="K183" s="4">
        <f t="shared" si="99"/>
        <v>0</v>
      </c>
      <c r="L183" s="4">
        <f t="shared" si="86"/>
      </c>
      <c r="M183" s="4" t="str">
        <f t="shared" si="87"/>
        <v>Ice</v>
      </c>
      <c r="N183" s="4">
        <f t="shared" si="88"/>
        <v>0</v>
      </c>
      <c r="O183" s="4">
        <f t="shared" si="89"/>
        <v>0</v>
      </c>
      <c r="P183" s="4">
        <f t="shared" si="100"/>
      </c>
      <c r="Q183" s="4">
        <f t="shared" si="90"/>
        <v>0</v>
      </c>
      <c r="R183" s="4">
        <f t="shared" si="79"/>
      </c>
      <c r="S183" s="4">
        <f t="shared" si="91"/>
        <v>0</v>
      </c>
      <c r="T183" s="4">
        <f t="shared" si="92"/>
        <v>1</v>
      </c>
      <c r="U183" s="5">
        <f t="shared" si="106"/>
        <v>15</v>
      </c>
      <c r="V183" s="5">
        <f t="shared" si="101"/>
        <v>15</v>
      </c>
      <c r="X183" s="5">
        <f t="shared" si="108"/>
        <v>15</v>
      </c>
      <c r="AB183" s="5">
        <f>VLOOKUP(AG183,Enchantments!$E$8:$G$36,3,FALSE)</f>
        <v>30</v>
      </c>
      <c r="AC183" s="5">
        <f>MIN(1,6*2/X183)</f>
        <v>0.8</v>
      </c>
      <c r="AD183" s="6" t="s">
        <v>536</v>
      </c>
      <c r="AE183" s="4" t="s">
        <v>263</v>
      </c>
      <c r="AG183" s="4" t="s">
        <v>513</v>
      </c>
      <c r="AH183" s="4" t="e">
        <f t="shared" si="102"/>
        <v>#N/A</v>
      </c>
      <c r="AI183" s="4" t="s">
        <v>352</v>
      </c>
      <c r="AP183" s="4" t="e">
        <f>IF(ISBLANK(AI183),0,VLOOKUP(AI183,SpellbooksOwned!$A$1:$B$49,2,FALSE))</f>
        <v>#N/A</v>
      </c>
      <c r="AQ183" s="4">
        <f>IF(ISBLANK(AJ183),0,VLOOKUP(AJ183,SpellbooksOwned!$A$1:$B$49,2,FALSE))</f>
        <v>0</v>
      </c>
      <c r="AR183" s="4">
        <f>IF(ISBLANK(AK183),0,VLOOKUP(AK183,SpellbooksOwned!$A$1:$B$49,2,FALSE))</f>
        <v>0</v>
      </c>
      <c r="AS183" s="4">
        <f>IF(ISBLANK(AL183),0,VLOOKUP(AL183,SpellbooksOwned!$A$1:$B$49,2,FALSE))</f>
        <v>0</v>
      </c>
      <c r="AT183" s="4">
        <f>IF(ISBLANK(AM183),0,VLOOKUP(AM183,SpellbooksOwned!$A$1:$B$49,2,FALSE))</f>
        <v>0</v>
      </c>
      <c r="AU183" s="4">
        <f>IF(ISBLANK(AN183),0,VLOOKUP(AN183,SpellbooksOwned!$A$1:$B$49,2,FALSE))</f>
        <v>0</v>
      </c>
      <c r="AV183" s="4">
        <f t="shared" si="83"/>
        <v>296</v>
      </c>
      <c r="AW183" s="26">
        <f t="shared" si="84"/>
        <v>100</v>
      </c>
      <c r="AX183" s="29">
        <f t="shared" si="103"/>
        <v>0.9985109323648599</v>
      </c>
      <c r="AY183" s="4" t="str">
        <f t="shared" si="104"/>
        <v>Useless</v>
      </c>
      <c r="AZ183" s="4"/>
    </row>
    <row r="184" spans="1:52" ht="12.75">
      <c r="A184" s="11" t="s">
        <v>238</v>
      </c>
      <c r="B184" s="10">
        <v>3</v>
      </c>
      <c r="C184" s="4" t="s">
        <v>391</v>
      </c>
      <c r="F184" s="4">
        <f t="shared" si="95"/>
        <v>1</v>
      </c>
      <c r="G184" s="4">
        <f t="shared" si="96"/>
      </c>
      <c r="H184" s="4">
        <f t="shared" si="97"/>
      </c>
      <c r="I184" s="4">
        <f t="shared" si="107"/>
        <v>11</v>
      </c>
      <c r="J184" s="4">
        <f t="shared" si="98"/>
        <v>0</v>
      </c>
      <c r="K184" s="4">
        <f t="shared" si="99"/>
      </c>
      <c r="L184" s="4">
        <f t="shared" si="86"/>
      </c>
      <c r="M184" s="4">
        <f t="shared" si="87"/>
        <v>0</v>
      </c>
      <c r="N184" s="4">
        <f t="shared" si="88"/>
      </c>
      <c r="O184" s="4">
        <f t="shared" si="89"/>
        <v>0</v>
      </c>
      <c r="P184" s="4">
        <f t="shared" si="100"/>
      </c>
      <c r="Q184" s="4">
        <f t="shared" si="90"/>
        <v>0</v>
      </c>
      <c r="R184" s="4">
        <f t="shared" si="79"/>
      </c>
      <c r="S184" s="4">
        <f t="shared" si="91"/>
        <v>0</v>
      </c>
      <c r="T184" s="4">
        <f t="shared" si="92"/>
        <v>1</v>
      </c>
      <c r="U184" s="5">
        <f t="shared" si="106"/>
        <v>15</v>
      </c>
      <c r="V184" s="5">
        <f t="shared" si="101"/>
        <v>15</v>
      </c>
      <c r="X184" s="5">
        <f t="shared" si="108"/>
        <v>15</v>
      </c>
      <c r="AE184" s="4" t="s">
        <v>266</v>
      </c>
      <c r="AH184" s="4" t="e">
        <f t="shared" si="102"/>
        <v>#N/A</v>
      </c>
      <c r="AI184" s="4" t="s">
        <v>79</v>
      </c>
      <c r="AP184" s="4" t="e">
        <f>IF(ISBLANK(AI184),0,VLOOKUP(AI184,SpellbooksOwned!$A$1:$B$49,2,FALSE))</f>
        <v>#N/A</v>
      </c>
      <c r="AQ184" s="4">
        <f>IF(ISBLANK(AJ184),0,VLOOKUP(AJ184,SpellbooksOwned!$A$1:$B$49,2,FALSE))</f>
        <v>0</v>
      </c>
      <c r="AR184" s="4">
        <f>IF(ISBLANK(AK184),0,VLOOKUP(AK184,SpellbooksOwned!$A$1:$B$49,2,FALSE))</f>
        <v>0</v>
      </c>
      <c r="AS184" s="4">
        <f>IF(ISBLANK(AL184),0,VLOOKUP(AL184,SpellbooksOwned!$A$1:$B$49,2,FALSE))</f>
        <v>0</v>
      </c>
      <c r="AT184" s="4">
        <f>IF(ISBLANK(AM184),0,VLOOKUP(AM184,SpellbooksOwned!$A$1:$B$49,2,FALSE))</f>
        <v>0</v>
      </c>
      <c r="AU184" s="4">
        <f>IF(ISBLANK(AN184),0,VLOOKUP(AN184,SpellbooksOwned!$A$1:$B$49,2,FALSE))</f>
        <v>0</v>
      </c>
      <c r="AV184" s="4">
        <f t="shared" si="83"/>
        <v>1</v>
      </c>
      <c r="AW184" s="26">
        <f t="shared" si="84"/>
        <v>28</v>
      </c>
      <c r="AX184" s="29">
        <f t="shared" si="103"/>
        <v>0.08850805170850018</v>
      </c>
      <c r="AY184" s="4" t="str">
        <f t="shared" si="104"/>
        <v>Very Good</v>
      </c>
      <c r="AZ184" s="4"/>
    </row>
    <row r="185" spans="1:52" ht="12.75">
      <c r="A185" s="4" t="s">
        <v>577</v>
      </c>
      <c r="B185" s="4">
        <v>1</v>
      </c>
      <c r="C185" s="4" t="s">
        <v>391</v>
      </c>
      <c r="F185" s="4">
        <f t="shared" si="95"/>
        <v>1</v>
      </c>
      <c r="G185" s="4">
        <f t="shared" si="96"/>
      </c>
      <c r="H185" s="4">
        <f t="shared" si="97"/>
      </c>
      <c r="I185" s="4">
        <f t="shared" si="107"/>
        <v>11</v>
      </c>
      <c r="J185" s="4">
        <f t="shared" si="98"/>
        <v>0</v>
      </c>
      <c r="K185" s="4">
        <f t="shared" si="99"/>
      </c>
      <c r="L185" s="4">
        <f t="shared" si="86"/>
      </c>
      <c r="M185" s="4">
        <f t="shared" si="87"/>
        <v>0</v>
      </c>
      <c r="N185" s="4">
        <f t="shared" si="88"/>
      </c>
      <c r="O185" s="4">
        <f t="shared" si="89"/>
        <v>0</v>
      </c>
      <c r="P185" s="4">
        <f t="shared" si="100"/>
      </c>
      <c r="Q185" s="4">
        <f t="shared" si="90"/>
        <v>0</v>
      </c>
      <c r="R185" s="4">
        <f t="shared" si="79"/>
      </c>
      <c r="S185" s="4">
        <f t="shared" si="91"/>
        <v>0</v>
      </c>
      <c r="T185" s="4">
        <f t="shared" si="92"/>
        <v>1</v>
      </c>
      <c r="U185" s="5">
        <f t="shared" si="106"/>
        <v>15</v>
      </c>
      <c r="V185" s="5">
        <f t="shared" si="101"/>
        <v>15</v>
      </c>
      <c r="W185" s="5">
        <v>25</v>
      </c>
      <c r="X185" s="5">
        <f t="shared" si="108"/>
        <v>15</v>
      </c>
      <c r="Y185" s="6">
        <f>1+(3+INT(X185/5)+1)/2</f>
        <v>4.5</v>
      </c>
      <c r="Z185" s="5" t="s">
        <v>59</v>
      </c>
      <c r="AA185" s="5" t="s">
        <v>149</v>
      </c>
      <c r="AB185" s="5">
        <v>1</v>
      </c>
      <c r="AD185" s="6" t="s">
        <v>177</v>
      </c>
      <c r="AE185" s="4" t="s">
        <v>176</v>
      </c>
      <c r="AH185" s="4" t="e">
        <f t="shared" si="102"/>
        <v>#N/A</v>
      </c>
      <c r="AI185" s="4" t="s">
        <v>351</v>
      </c>
      <c r="AP185" s="4" t="e">
        <f>IF(ISBLANK(AI185),0,VLOOKUP(AI185,SpellbooksOwned!$A$1:$B$49,2,FALSE))</f>
        <v>#N/A</v>
      </c>
      <c r="AQ185" s="4">
        <f>IF(ISBLANK(AJ185),0,VLOOKUP(AJ185,SpellbooksOwned!$A$1:$B$49,2,FALSE))</f>
        <v>0</v>
      </c>
      <c r="AR185" s="4">
        <f>IF(ISBLANK(AK185),0,VLOOKUP(AK185,SpellbooksOwned!$A$1:$B$49,2,FALSE))</f>
        <v>0</v>
      </c>
      <c r="AS185" s="4">
        <f>IF(ISBLANK(AL185),0,VLOOKUP(AL185,SpellbooksOwned!$A$1:$B$49,2,FALSE))</f>
        <v>0</v>
      </c>
      <c r="AT185" s="4">
        <f>IF(ISBLANK(AM185),0,VLOOKUP(AM185,SpellbooksOwned!$A$1:$B$49,2,FALSE))</f>
        <v>0</v>
      </c>
      <c r="AU185" s="4">
        <f>IF(ISBLANK(AN185),0,VLOOKUP(AN185,SpellbooksOwned!$A$1:$B$49,2,FALSE))</f>
        <v>0</v>
      </c>
      <c r="AV185" s="4">
        <f t="shared" si="83"/>
        <v>-31</v>
      </c>
      <c r="AW185" s="26">
        <f t="shared" si="84"/>
        <v>18</v>
      </c>
      <c r="AX185" s="29">
        <f t="shared" si="103"/>
        <v>0.025587989795647026</v>
      </c>
      <c r="AY185" s="4" t="str">
        <f t="shared" si="104"/>
        <v>Great</v>
      </c>
      <c r="AZ185" s="4"/>
    </row>
    <row r="186" spans="1:52" ht="12.75">
      <c r="A186" s="4" t="s">
        <v>78</v>
      </c>
      <c r="B186" s="4">
        <v>7</v>
      </c>
      <c r="C186" s="4" t="s">
        <v>359</v>
      </c>
      <c r="D186" s="4" t="s">
        <v>391</v>
      </c>
      <c r="F186" s="4">
        <f t="shared" si="95"/>
        <v>1</v>
      </c>
      <c r="G186" s="4">
        <f t="shared" si="96"/>
        <v>1</v>
      </c>
      <c r="H186" s="4">
        <f t="shared" si="97"/>
      </c>
      <c r="I186" s="4">
        <f t="shared" si="107"/>
        <v>11</v>
      </c>
      <c r="J186" s="4">
        <f t="shared" si="98"/>
        <v>0</v>
      </c>
      <c r="K186" s="4">
        <f t="shared" si="99"/>
        <v>0</v>
      </c>
      <c r="L186" s="4">
        <f t="shared" si="86"/>
      </c>
      <c r="M186" s="4">
        <f t="shared" si="87"/>
        <v>0</v>
      </c>
      <c r="N186" s="4">
        <f t="shared" si="88"/>
      </c>
      <c r="O186" s="4">
        <f t="shared" si="89"/>
        <v>0</v>
      </c>
      <c r="P186" s="4">
        <f t="shared" si="100"/>
      </c>
      <c r="Q186" s="4">
        <f t="shared" si="90"/>
        <v>0</v>
      </c>
      <c r="R186" s="4">
        <f t="shared" si="79"/>
      </c>
      <c r="S186" s="4">
        <f t="shared" si="91"/>
        <v>0</v>
      </c>
      <c r="T186" s="4">
        <f t="shared" si="92"/>
        <v>1</v>
      </c>
      <c r="U186" s="5">
        <f t="shared" si="106"/>
        <v>15</v>
      </c>
      <c r="V186" s="5">
        <f t="shared" si="101"/>
        <v>15</v>
      </c>
      <c r="X186" s="5">
        <f t="shared" si="108"/>
        <v>15</v>
      </c>
      <c r="AB186" s="5">
        <f>MIN(50,5+2*INT((X186+1)/2))</f>
        <v>21</v>
      </c>
      <c r="AD186" s="6" t="s">
        <v>80</v>
      </c>
      <c r="AE186" s="4" t="s">
        <v>146</v>
      </c>
      <c r="AH186" s="4" t="e">
        <f t="shared" si="102"/>
        <v>#N/A</v>
      </c>
      <c r="AI186" s="4" t="s">
        <v>351</v>
      </c>
      <c r="AP186" s="4" t="e">
        <f>IF(ISBLANK(AI186),0,VLOOKUP(AI186,SpellbooksOwned!$A$1:$B$49,2,FALSE))</f>
        <v>#N/A</v>
      </c>
      <c r="AQ186" s="4">
        <f>IF(ISBLANK(AJ186),0,VLOOKUP(AJ186,SpellbooksOwned!$A$1:$B$49,2,FALSE))</f>
        <v>0</v>
      </c>
      <c r="AR186" s="4">
        <f>IF(ISBLANK(AK186),0,VLOOKUP(AK186,SpellbooksOwned!$A$1:$B$49,2,FALSE))</f>
        <v>0</v>
      </c>
      <c r="AS186" s="4">
        <f>IF(ISBLANK(AL186),0,VLOOKUP(AL186,SpellbooksOwned!$A$1:$B$49,2,FALSE))</f>
        <v>0</v>
      </c>
      <c r="AT186" s="4">
        <f>IF(ISBLANK(AM186),0,VLOOKUP(AM186,SpellbooksOwned!$A$1:$B$49,2,FALSE))</f>
        <v>0</v>
      </c>
      <c r="AU186" s="4">
        <f>IF(ISBLANK(AN186),0,VLOOKUP(AN186,SpellbooksOwned!$A$1:$B$49,2,FALSE))</f>
        <v>0</v>
      </c>
      <c r="AV186" s="4">
        <f t="shared" si="83"/>
        <v>166</v>
      </c>
      <c r="AW186" s="26">
        <f t="shared" si="84"/>
        <v>100</v>
      </c>
      <c r="AX186" s="29">
        <f t="shared" si="103"/>
        <v>0.9985109323648599</v>
      </c>
      <c r="AY186" s="4" t="str">
        <f t="shared" si="104"/>
        <v>Useless</v>
      </c>
      <c r="AZ186" s="4"/>
    </row>
    <row r="187" spans="1:52" ht="12.75">
      <c r="A187" s="4" t="s">
        <v>365</v>
      </c>
      <c r="B187" s="4">
        <v>2</v>
      </c>
      <c r="C187" s="4" t="s">
        <v>361</v>
      </c>
      <c r="F187" s="4">
        <f t="shared" si="95"/>
        <v>1</v>
      </c>
      <c r="G187" s="4">
        <f t="shared" si="96"/>
      </c>
      <c r="H187" s="4">
        <f t="shared" si="97"/>
      </c>
      <c r="I187" s="4">
        <f t="shared" si="107"/>
        <v>11</v>
      </c>
      <c r="J187" s="4">
        <f t="shared" si="98"/>
        <v>0</v>
      </c>
      <c r="K187" s="4">
        <f t="shared" si="99"/>
      </c>
      <c r="L187" s="4">
        <f t="shared" si="86"/>
      </c>
      <c r="M187" s="4">
        <f t="shared" si="87"/>
        <v>0</v>
      </c>
      <c r="N187" s="4">
        <f t="shared" si="88"/>
      </c>
      <c r="O187" s="4">
        <f t="shared" si="89"/>
        <v>0</v>
      </c>
      <c r="P187" s="4">
        <f t="shared" si="100"/>
      </c>
      <c r="Q187" s="4">
        <f t="shared" si="90"/>
        <v>0</v>
      </c>
      <c r="R187" s="4">
        <f t="shared" si="79"/>
      </c>
      <c r="S187" s="4">
        <f t="shared" si="91"/>
        <v>0</v>
      </c>
      <c r="T187" s="4">
        <f t="shared" si="92"/>
        <v>1</v>
      </c>
      <c r="U187" s="5">
        <f t="shared" si="106"/>
        <v>15</v>
      </c>
      <c r="V187" s="5">
        <f t="shared" si="101"/>
        <v>15</v>
      </c>
      <c r="W187" s="5">
        <v>999</v>
      </c>
      <c r="X187" s="5">
        <f t="shared" si="108"/>
        <v>15</v>
      </c>
      <c r="Y187" s="6">
        <f>(12*INT((40+INT(3*X187/2))/12)+1)/2</f>
        <v>30.5</v>
      </c>
      <c r="Z187" s="5" t="s">
        <v>939</v>
      </c>
      <c r="AA187" s="5">
        <v>2</v>
      </c>
      <c r="AB187" s="5">
        <v>1</v>
      </c>
      <c r="AD187" s="6" t="s">
        <v>943</v>
      </c>
      <c r="AE187" s="4" t="s">
        <v>862</v>
      </c>
      <c r="AF187" s="4" t="s">
        <v>981</v>
      </c>
      <c r="AH187" s="4" t="e">
        <f t="shared" si="102"/>
        <v>#N/A</v>
      </c>
      <c r="AI187" s="4" t="s">
        <v>527</v>
      </c>
      <c r="AP187" s="4" t="e">
        <f>IF(ISBLANK(AI187),0,VLOOKUP(AI187,SpellbooksOwned!$A$1:$B$49,2,FALSE))</f>
        <v>#N/A</v>
      </c>
      <c r="AQ187" s="4">
        <f>IF(ISBLANK(AJ187),0,VLOOKUP(AJ187,SpellbooksOwned!$A$1:$B$49,2,FALSE))</f>
        <v>0</v>
      </c>
      <c r="AR187" s="4">
        <f>IF(ISBLANK(AK187),0,VLOOKUP(AK187,SpellbooksOwned!$A$1:$B$49,2,FALSE))</f>
        <v>0</v>
      </c>
      <c r="AS187" s="4">
        <f>IF(ISBLANK(AL187),0,VLOOKUP(AL187,SpellbooksOwned!$A$1:$B$49,2,FALSE))</f>
        <v>0</v>
      </c>
      <c r="AT187" s="4">
        <f>IF(ISBLANK(AM187),0,VLOOKUP(AM187,SpellbooksOwned!$A$1:$B$49,2,FALSE))</f>
        <v>0</v>
      </c>
      <c r="AU187" s="4">
        <f>IF(ISBLANK(AN187),0,VLOOKUP(AN187,SpellbooksOwned!$A$1:$B$49,2,FALSE))</f>
        <v>0</v>
      </c>
      <c r="AV187" s="4">
        <f t="shared" si="83"/>
        <v>-19</v>
      </c>
      <c r="AW187" s="26">
        <f t="shared" si="84"/>
        <v>22</v>
      </c>
      <c r="AX187" s="29">
        <f t="shared" si="103"/>
        <v>0.043632902942498775</v>
      </c>
      <c r="AY187" s="4" t="str">
        <f t="shared" si="104"/>
        <v>Very Good</v>
      </c>
      <c r="AZ187" s="4"/>
    </row>
    <row r="188" spans="1:52" ht="12.75">
      <c r="A188" s="4" t="s">
        <v>1034</v>
      </c>
      <c r="B188" s="4">
        <v>9</v>
      </c>
      <c r="C188" s="4" t="s">
        <v>361</v>
      </c>
      <c r="D188" s="4" t="s">
        <v>364</v>
      </c>
      <c r="F188" s="4">
        <f t="shared" si="95"/>
        <v>1</v>
      </c>
      <c r="G188" s="4">
        <f t="shared" si="96"/>
        <v>1</v>
      </c>
      <c r="H188" s="4">
        <f t="shared" si="97"/>
      </c>
      <c r="I188" s="4">
        <f t="shared" si="107"/>
        <v>11</v>
      </c>
      <c r="J188" s="4">
        <f t="shared" si="98"/>
        <v>0</v>
      </c>
      <c r="K188" s="4">
        <f t="shared" si="99"/>
        <v>0</v>
      </c>
      <c r="L188" s="4">
        <f t="shared" si="86"/>
      </c>
      <c r="M188" s="4">
        <f t="shared" si="87"/>
        <v>0</v>
      </c>
      <c r="N188" s="4">
        <f t="shared" si="88"/>
      </c>
      <c r="O188" s="4" t="str">
        <f t="shared" si="89"/>
        <v>Ice</v>
      </c>
      <c r="P188" s="4">
        <f t="shared" si="100"/>
        <v>0</v>
      </c>
      <c r="Q188" s="4">
        <f t="shared" si="90"/>
        <v>0</v>
      </c>
      <c r="R188" s="4">
        <f t="shared" si="79"/>
      </c>
      <c r="S188" s="4">
        <f t="shared" si="91"/>
        <v>0</v>
      </c>
      <c r="T188" s="4">
        <f t="shared" si="92"/>
        <v>1</v>
      </c>
      <c r="U188" s="5">
        <f>INT(INT(I188*T188)*Intelligence/10)</f>
        <v>15</v>
      </c>
      <c r="V188" s="5">
        <f t="shared" si="101"/>
        <v>15</v>
      </c>
      <c r="W188" s="5">
        <v>200</v>
      </c>
      <c r="X188" s="5">
        <f t="shared" si="108"/>
        <v>15</v>
      </c>
      <c r="Y188" s="6">
        <f>(3*INT((10+INT(3*U188/4))/3)+1)/2</f>
        <v>11</v>
      </c>
      <c r="Z188" s="5" t="s">
        <v>939</v>
      </c>
      <c r="AA188" s="5">
        <f>20+INT(X188/10)</f>
        <v>21</v>
      </c>
      <c r="AB188" s="5">
        <v>1</v>
      </c>
      <c r="AD188" s="6" t="s">
        <v>143</v>
      </c>
      <c r="AE188" s="4" t="s">
        <v>940</v>
      </c>
      <c r="AF188" s="4" t="s">
        <v>980</v>
      </c>
      <c r="AH188" s="4" t="e">
        <f t="shared" si="102"/>
        <v>#N/A</v>
      </c>
      <c r="AI188" s="4" t="s">
        <v>941</v>
      </c>
      <c r="AP188" s="4" t="e">
        <f>IF(ISBLANK(AI188),0,VLOOKUP(AI188,SpellbooksOwned!$A$1:$B$49,2,FALSE))</f>
        <v>#N/A</v>
      </c>
      <c r="AQ188" s="4">
        <f>IF(ISBLANK(AJ188),0,VLOOKUP(AJ188,SpellbooksOwned!$A$1:$B$49,2,FALSE))</f>
        <v>0</v>
      </c>
      <c r="AR188" s="4">
        <f>IF(ISBLANK(AK188),0,VLOOKUP(AK188,SpellbooksOwned!$A$1:$B$49,2,FALSE))</f>
        <v>0</v>
      </c>
      <c r="AS188" s="4">
        <f>IF(ISBLANK(AL188),0,VLOOKUP(AL188,SpellbooksOwned!$A$1:$B$49,2,FALSE))</f>
        <v>0</v>
      </c>
      <c r="AT188" s="4">
        <f>IF(ISBLANK(AM188),0,VLOOKUP(AM188,SpellbooksOwned!$A$1:$B$49,2,FALSE))</f>
        <v>0</v>
      </c>
      <c r="AU188" s="4">
        <f>IF(ISBLANK(AN188),0,VLOOKUP(AN188,SpellbooksOwned!$A$1:$B$49,2,FALSE))</f>
        <v>0</v>
      </c>
      <c r="AV188" s="4">
        <f t="shared" si="83"/>
        <v>296</v>
      </c>
      <c r="AW188" s="26">
        <f t="shared" si="84"/>
        <v>100</v>
      </c>
      <c r="AX188" s="29">
        <f t="shared" si="103"/>
        <v>0.9985109323648599</v>
      </c>
      <c r="AY188" s="4" t="str">
        <f t="shared" si="104"/>
        <v>Useless</v>
      </c>
      <c r="AZ188" s="4"/>
    </row>
    <row r="189" spans="1:52" ht="12.75">
      <c r="A189" s="4" t="s">
        <v>243</v>
      </c>
      <c r="B189" s="4">
        <v>1</v>
      </c>
      <c r="C189" s="4" t="s">
        <v>374</v>
      </c>
      <c r="F189" s="4">
        <f t="shared" si="95"/>
        <v>1</v>
      </c>
      <c r="G189" s="4">
        <f t="shared" si="96"/>
      </c>
      <c r="H189" s="4">
        <f t="shared" si="97"/>
      </c>
      <c r="I189" s="4">
        <f t="shared" si="107"/>
        <v>11</v>
      </c>
      <c r="J189" s="4">
        <f t="shared" si="98"/>
        <v>0</v>
      </c>
      <c r="K189" s="4">
        <f t="shared" si="99"/>
      </c>
      <c r="L189" s="4">
        <f t="shared" si="86"/>
      </c>
      <c r="M189" s="4" t="str">
        <f t="shared" si="87"/>
        <v>Earth</v>
      </c>
      <c r="N189" s="4">
        <f t="shared" si="88"/>
        <v>0</v>
      </c>
      <c r="O189" s="4">
        <f t="shared" si="89"/>
        <v>0</v>
      </c>
      <c r="P189" s="4">
        <f t="shared" si="100"/>
      </c>
      <c r="Q189" s="4">
        <f t="shared" si="90"/>
        <v>0</v>
      </c>
      <c r="R189" s="4">
        <f t="shared" si="79"/>
      </c>
      <c r="S189" s="4">
        <f t="shared" si="91"/>
        <v>0</v>
      </c>
      <c r="T189" s="4">
        <f t="shared" si="92"/>
        <v>1</v>
      </c>
      <c r="U189" s="5">
        <f t="shared" si="106"/>
        <v>15</v>
      </c>
      <c r="V189" s="5">
        <f t="shared" si="101"/>
        <v>15</v>
      </c>
      <c r="X189" s="5">
        <f t="shared" si="108"/>
        <v>15</v>
      </c>
      <c r="AB189" s="5">
        <v>1</v>
      </c>
      <c r="AE189" s="4" t="s">
        <v>264</v>
      </c>
      <c r="AH189" s="4" t="e">
        <f t="shared" si="102"/>
        <v>#N/A</v>
      </c>
      <c r="AI189" s="4" t="s">
        <v>879</v>
      </c>
      <c r="AP189" s="4" t="e">
        <f>IF(ISBLANK(AI189),0,VLOOKUP(AI189,SpellbooksOwned!$A$1:$B$49,2,FALSE))</f>
        <v>#N/A</v>
      </c>
      <c r="AQ189" s="4">
        <f>IF(ISBLANK(AJ189),0,VLOOKUP(AJ189,SpellbooksOwned!$A$1:$B$49,2,FALSE))</f>
        <v>0</v>
      </c>
      <c r="AR189" s="4">
        <f>IF(ISBLANK(AK189),0,VLOOKUP(AK189,SpellbooksOwned!$A$1:$B$49,2,FALSE))</f>
        <v>0</v>
      </c>
      <c r="AS189" s="4">
        <f>IF(ISBLANK(AL189),0,VLOOKUP(AL189,SpellbooksOwned!$A$1:$B$49,2,FALSE))</f>
        <v>0</v>
      </c>
      <c r="AT189" s="4">
        <f>IF(ISBLANK(AM189),0,VLOOKUP(AM189,SpellbooksOwned!$A$1:$B$49,2,FALSE))</f>
        <v>0</v>
      </c>
      <c r="AU189" s="4">
        <f>IF(ISBLANK(AN189),0,VLOOKUP(AN189,SpellbooksOwned!$A$1:$B$49,2,FALSE))</f>
        <v>0</v>
      </c>
      <c r="AV189" s="4">
        <f t="shared" si="83"/>
        <v>-31</v>
      </c>
      <c r="AW189" s="26">
        <f t="shared" si="84"/>
        <v>18</v>
      </c>
      <c r="AX189" s="29">
        <f t="shared" si="103"/>
        <v>0.025587989795647026</v>
      </c>
      <c r="AY189" s="4" t="str">
        <f t="shared" si="104"/>
        <v>Great</v>
      </c>
      <c r="AZ189" s="4"/>
    </row>
    <row r="190" spans="1:52" ht="12.75">
      <c r="A190" s="4" t="s">
        <v>878</v>
      </c>
      <c r="B190" s="4">
        <v>1</v>
      </c>
      <c r="C190" s="4" t="s">
        <v>364</v>
      </c>
      <c r="F190" s="4">
        <f t="shared" si="95"/>
        <v>1</v>
      </c>
      <c r="G190" s="4">
        <f t="shared" si="96"/>
      </c>
      <c r="H190" s="4">
        <f t="shared" si="97"/>
      </c>
      <c r="I190" s="4">
        <f t="shared" si="107"/>
        <v>11</v>
      </c>
      <c r="J190" s="4">
        <f t="shared" si="98"/>
        <v>0</v>
      </c>
      <c r="K190" s="4">
        <f t="shared" si="99"/>
      </c>
      <c r="L190" s="4">
        <f t="shared" si="86"/>
      </c>
      <c r="M190" s="4" t="str">
        <f t="shared" si="87"/>
        <v>Ice</v>
      </c>
      <c r="N190" s="4">
        <f t="shared" si="88"/>
        <v>0</v>
      </c>
      <c r="O190" s="4">
        <f t="shared" si="89"/>
        <v>0</v>
      </c>
      <c r="P190" s="4">
        <f t="shared" si="100"/>
      </c>
      <c r="Q190" s="4">
        <f t="shared" si="90"/>
        <v>0</v>
      </c>
      <c r="R190" s="4">
        <f t="shared" si="79"/>
      </c>
      <c r="S190" s="4">
        <f t="shared" si="91"/>
        <v>0</v>
      </c>
      <c r="T190" s="4">
        <f t="shared" si="92"/>
        <v>1</v>
      </c>
      <c r="U190" s="5">
        <f t="shared" si="106"/>
        <v>15</v>
      </c>
      <c r="V190" s="5">
        <f t="shared" si="101"/>
        <v>15</v>
      </c>
      <c r="W190" s="5">
        <v>25</v>
      </c>
      <c r="X190" s="5">
        <f t="shared" si="108"/>
        <v>15</v>
      </c>
      <c r="Y190" s="6">
        <f>(3+INT(X190/3)+1)/2</f>
        <v>4.5</v>
      </c>
      <c r="Z190" s="5" t="s">
        <v>59</v>
      </c>
      <c r="AB190" s="5">
        <v>1</v>
      </c>
      <c r="AE190" s="4" t="s">
        <v>881</v>
      </c>
      <c r="AH190" s="4" t="e">
        <f t="shared" si="102"/>
        <v>#N/A</v>
      </c>
      <c r="AI190" s="4" t="s">
        <v>879</v>
      </c>
      <c r="AP190" s="4" t="e">
        <f>IF(ISBLANK(AI190),0,VLOOKUP(AI190,SpellbooksOwned!$A$1:$B$49,2,FALSE))</f>
        <v>#N/A</v>
      </c>
      <c r="AQ190" s="4">
        <f>IF(ISBLANK(AJ190),0,VLOOKUP(AJ190,SpellbooksOwned!$A$1:$B$49,2,FALSE))</f>
        <v>0</v>
      </c>
      <c r="AR190" s="4">
        <f>IF(ISBLANK(AK190),0,VLOOKUP(AK190,SpellbooksOwned!$A$1:$B$49,2,FALSE))</f>
        <v>0</v>
      </c>
      <c r="AS190" s="4">
        <f>IF(ISBLANK(AL190),0,VLOOKUP(AL190,SpellbooksOwned!$A$1:$B$49,2,FALSE))</f>
        <v>0</v>
      </c>
      <c r="AT190" s="4">
        <f>IF(ISBLANK(AM190),0,VLOOKUP(AM190,SpellbooksOwned!$A$1:$B$49,2,FALSE))</f>
        <v>0</v>
      </c>
      <c r="AU190" s="4">
        <f>IF(ISBLANK(AN190),0,VLOOKUP(AN190,SpellbooksOwned!$A$1:$B$49,2,FALSE))</f>
        <v>0</v>
      </c>
      <c r="AV190" s="4">
        <f t="shared" si="83"/>
        <v>-31</v>
      </c>
      <c r="AW190" s="26">
        <f t="shared" si="84"/>
        <v>18</v>
      </c>
      <c r="AX190" s="29">
        <f t="shared" si="103"/>
        <v>0.025587989795647026</v>
      </c>
      <c r="AY190" s="4" t="str">
        <f t="shared" si="104"/>
        <v>Great</v>
      </c>
      <c r="AZ190" s="4"/>
    </row>
    <row r="191" spans="1:52" ht="12.75">
      <c r="A191" s="4" t="s">
        <v>240</v>
      </c>
      <c r="B191" s="4">
        <v>1</v>
      </c>
      <c r="C191" s="4" t="s">
        <v>373</v>
      </c>
      <c r="F191" s="4">
        <f t="shared" si="95"/>
        <v>1</v>
      </c>
      <c r="G191" s="4">
        <f t="shared" si="96"/>
      </c>
      <c r="H191" s="4">
        <f t="shared" si="97"/>
      </c>
      <c r="I191" s="4">
        <f t="shared" si="107"/>
        <v>11</v>
      </c>
      <c r="J191" s="4">
        <f t="shared" si="98"/>
        <v>0</v>
      </c>
      <c r="K191" s="4">
        <f t="shared" si="99"/>
      </c>
      <c r="L191" s="4">
        <f t="shared" si="86"/>
      </c>
      <c r="M191" s="4" t="str">
        <f t="shared" si="87"/>
        <v>Air</v>
      </c>
      <c r="N191" s="4">
        <f t="shared" si="88"/>
        <v>0</v>
      </c>
      <c r="O191" s="4">
        <f t="shared" si="89"/>
        <v>0</v>
      </c>
      <c r="P191" s="4">
        <f t="shared" si="100"/>
      </c>
      <c r="Q191" s="4">
        <f t="shared" si="90"/>
        <v>0</v>
      </c>
      <c r="R191" s="4">
        <f t="shared" si="79"/>
      </c>
      <c r="S191" s="4">
        <f t="shared" si="91"/>
        <v>0</v>
      </c>
      <c r="T191" s="4">
        <f t="shared" si="92"/>
        <v>1</v>
      </c>
      <c r="U191" s="5">
        <f t="shared" si="106"/>
        <v>15</v>
      </c>
      <c r="V191" s="5">
        <f t="shared" si="101"/>
        <v>15</v>
      </c>
      <c r="X191" s="5">
        <f t="shared" si="108"/>
        <v>15</v>
      </c>
      <c r="AB191" s="5">
        <v>1</v>
      </c>
      <c r="AE191" s="4" t="s">
        <v>265</v>
      </c>
      <c r="AH191" s="4" t="e">
        <f t="shared" si="102"/>
        <v>#N/A</v>
      </c>
      <c r="AI191" s="4" t="s">
        <v>879</v>
      </c>
      <c r="AP191" s="4" t="e">
        <f>IF(ISBLANK(AI191),0,VLOOKUP(AI191,SpellbooksOwned!$A$1:$B$49,2,FALSE))</f>
        <v>#N/A</v>
      </c>
      <c r="AQ191" s="4">
        <f>IF(ISBLANK(AJ191),0,VLOOKUP(AJ191,SpellbooksOwned!$A$1:$B$49,2,FALSE))</f>
        <v>0</v>
      </c>
      <c r="AR191" s="4">
        <f>IF(ISBLANK(AK191),0,VLOOKUP(AK191,SpellbooksOwned!$A$1:$B$49,2,FALSE))</f>
        <v>0</v>
      </c>
      <c r="AS191" s="4">
        <f>IF(ISBLANK(AL191),0,VLOOKUP(AL191,SpellbooksOwned!$A$1:$B$49,2,FALSE))</f>
        <v>0</v>
      </c>
      <c r="AT191" s="4">
        <f>IF(ISBLANK(AM191),0,VLOOKUP(AM191,SpellbooksOwned!$A$1:$B$49,2,FALSE))</f>
        <v>0</v>
      </c>
      <c r="AU191" s="4">
        <f>IF(ISBLANK(AN191),0,VLOOKUP(AN191,SpellbooksOwned!$A$1:$B$49,2,FALSE))</f>
        <v>0</v>
      </c>
      <c r="AV191" s="4">
        <f t="shared" si="83"/>
        <v>-31</v>
      </c>
      <c r="AW191" s="26">
        <f t="shared" si="84"/>
        <v>18</v>
      </c>
      <c r="AX191" s="29">
        <f t="shared" si="103"/>
        <v>0.025587989795647026</v>
      </c>
      <c r="AY191" s="4" t="str">
        <f t="shared" si="104"/>
        <v>Great</v>
      </c>
      <c r="AZ191" s="4"/>
    </row>
    <row r="192" spans="1:52" ht="12.75">
      <c r="A192" s="4" t="s">
        <v>1035</v>
      </c>
      <c r="B192" s="4">
        <v>7</v>
      </c>
      <c r="C192" s="4" t="s">
        <v>361</v>
      </c>
      <c r="D192" s="4" t="s">
        <v>373</v>
      </c>
      <c r="F192" s="4">
        <f t="shared" si="95"/>
        <v>1</v>
      </c>
      <c r="G192" s="4">
        <f t="shared" si="96"/>
        <v>1</v>
      </c>
      <c r="H192" s="4">
        <f t="shared" si="97"/>
      </c>
      <c r="I192" s="4">
        <f>INT(Spellcasting/2)+INT(2*AVERAGE(F192:H192))+3*RingOfWizardry+4*StaffOfWizardry+2*RobeOfTheArchmagi</f>
        <v>11</v>
      </c>
      <c r="J192" s="4">
        <f t="shared" si="98"/>
        <v>0</v>
      </c>
      <c r="K192" s="4">
        <f t="shared" si="99"/>
        <v>0</v>
      </c>
      <c r="L192" s="4">
        <f t="shared" si="86"/>
      </c>
      <c r="M192" s="4">
        <f t="shared" si="87"/>
        <v>0</v>
      </c>
      <c r="N192" s="4">
        <f t="shared" si="88"/>
      </c>
      <c r="O192" s="4" t="str">
        <f t="shared" si="89"/>
        <v>Air</v>
      </c>
      <c r="P192" s="4">
        <f t="shared" si="100"/>
        <v>0</v>
      </c>
      <c r="Q192" s="4">
        <f t="shared" si="90"/>
        <v>0</v>
      </c>
      <c r="R192" s="4">
        <f t="shared" si="79"/>
      </c>
      <c r="S192" s="4">
        <f t="shared" si="91"/>
        <v>0</v>
      </c>
      <c r="T192" s="4">
        <f t="shared" si="92"/>
        <v>1</v>
      </c>
      <c r="U192" s="5">
        <f>INT(INT(I192*T192)*Intelligence/10)</f>
        <v>15</v>
      </c>
      <c r="V192" s="5">
        <f>MIN(200,IF(U192&lt;=50,U192,IF(U192&lt;=150,INT(U192/2)+25,IF(U192&lt;=350,INT((U192-50)/4)+75,INT((INT((U192-50)/4)-75)/2)+150))))</f>
        <v>15</v>
      </c>
      <c r="W192" s="5">
        <v>200</v>
      </c>
      <c r="X192" s="5">
        <f>MIN(V192:W192)</f>
        <v>15</v>
      </c>
      <c r="Y192" s="6">
        <f>(3*INT((30+INT(3*U192/4))/3)+1)/2</f>
        <v>20</v>
      </c>
      <c r="Z192" s="5" t="s">
        <v>976</v>
      </c>
      <c r="AA192" s="5">
        <v>20</v>
      </c>
      <c r="AB192" s="5">
        <v>1</v>
      </c>
      <c r="AD192" s="6" t="s">
        <v>977</v>
      </c>
      <c r="AE192" s="4" t="s">
        <v>997</v>
      </c>
      <c r="AF192" s="4" t="s">
        <v>975</v>
      </c>
      <c r="AH192" s="4" t="e">
        <f>IF(AND((CharLevel&gt;=$B192),OR($AP192:$AU192)),TRUE,FALSE)</f>
        <v>#N/A</v>
      </c>
      <c r="AI192" s="4" t="s">
        <v>79</v>
      </c>
      <c r="AO192" s="4">
        <f>COUNTIF(SpellbooksOwned!$D$2:$K$49,$A192)</f>
        <v>0</v>
      </c>
      <c r="AP192" s="4" t="e">
        <f>IF(ISBLANK(AI192),0,VLOOKUP(AI192,SpellbooksOwned!$A$1:$B$49,2,FALSE))</f>
        <v>#N/A</v>
      </c>
      <c r="AQ192" s="4">
        <f>IF(ISBLANK(AJ192),0,VLOOKUP(AJ192,SpellbooksOwned!$A$1:$B$49,2,FALSE))</f>
        <v>0</v>
      </c>
      <c r="AR192" s="4">
        <f>IF(ISBLANK(AK192),0,VLOOKUP(AK192,SpellbooksOwned!$A$1:$B$49,2,FALSE))</f>
        <v>0</v>
      </c>
      <c r="AS192" s="4">
        <f>IF(ISBLANK(AL192),0,VLOOKUP(AL192,SpellbooksOwned!$A$1:$B$49,2,FALSE))</f>
        <v>0</v>
      </c>
      <c r="AT192" s="4">
        <f>IF(ISBLANK(AM192),0,VLOOKUP(AM192,SpellbooksOwned!$A$1:$B$49,2,FALSE))</f>
        <v>0</v>
      </c>
      <c r="AU192" s="4">
        <f>IF(ISBLANK(AN192),0,VLOOKUP(AN192,SpellbooksOwned!$A$1:$B$49,2,FALSE))</f>
        <v>0</v>
      </c>
      <c r="AV192" s="4">
        <f>60-6*INT(I192*T192)-2*Intelligence+VLOOKUP(B192,TblSpellDifficulty,2)</f>
        <v>166</v>
      </c>
      <c r="AW192" s="26">
        <f>VLOOKUP(MAX(-181,MIN(100,AV192)),TblSpellFailRemap,2,FALSE)</f>
        <v>100</v>
      </c>
      <c r="AX192" s="29">
        <f>NORMDIST(AW192,50.5,100/6,TRUE)</f>
        <v>0.9985109323648599</v>
      </c>
      <c r="AY192" s="4" t="str">
        <f>LOOKUP(AW192,TblFailureCategories)</f>
        <v>Useless</v>
      </c>
      <c r="AZ192" s="4"/>
    </row>
  </sheetData>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E256"/>
  <sheetViews>
    <sheetView workbookViewId="0" topLeftCell="A1">
      <pane ySplit="3" topLeftCell="BM16" activePane="bottomLeft" state="frozen"/>
      <selection pane="topLeft" activeCell="A1" sqref="A1"/>
      <selection pane="bottomLeft" activeCell="A4" sqref="A4"/>
    </sheetView>
  </sheetViews>
  <sheetFormatPr defaultColWidth="9.140625" defaultRowHeight="12.75"/>
  <cols>
    <col min="1" max="1" width="6.00390625" style="0" customWidth="1"/>
    <col min="2" max="2" width="23.421875" style="0" customWidth="1"/>
    <col min="3" max="3" width="12.8515625" style="0" customWidth="1"/>
    <col min="4" max="4" width="10.7109375" style="0" bestFit="1" customWidth="1"/>
    <col min="5" max="5" width="30.8515625" style="0" customWidth="1"/>
    <col min="6" max="6" width="36.140625" style="0" customWidth="1"/>
  </cols>
  <sheetData>
    <row r="1" ht="12.75">
      <c r="A1" s="1" t="s">
        <v>969</v>
      </c>
    </row>
    <row r="2" ht="12.75">
      <c r="A2" t="s">
        <v>290</v>
      </c>
    </row>
    <row r="3" spans="1:5" ht="12.75">
      <c r="A3" s="1" t="s">
        <v>429</v>
      </c>
      <c r="B3" s="1" t="s">
        <v>430</v>
      </c>
      <c r="C3" s="1" t="s">
        <v>1054</v>
      </c>
      <c r="D3" s="1" t="s">
        <v>1055</v>
      </c>
      <c r="E3" s="1" t="s">
        <v>431</v>
      </c>
    </row>
    <row r="4" ht="12.75">
      <c r="A4" t="s">
        <v>355</v>
      </c>
    </row>
    <row r="5" spans="1:5" ht="12.75">
      <c r="A5">
        <v>1</v>
      </c>
      <c r="B5" t="s">
        <v>488</v>
      </c>
      <c r="C5" t="s">
        <v>361</v>
      </c>
      <c r="E5" t="s">
        <v>374</v>
      </c>
    </row>
    <row r="6" spans="1:5" ht="12.75">
      <c r="A6">
        <v>2</v>
      </c>
      <c r="B6" t="s">
        <v>454</v>
      </c>
      <c r="C6" t="s">
        <v>359</v>
      </c>
      <c r="E6" t="s">
        <v>686</v>
      </c>
    </row>
    <row r="7" spans="1:5" ht="12.75">
      <c r="A7">
        <v>2</v>
      </c>
      <c r="B7" t="s">
        <v>480</v>
      </c>
      <c r="C7" t="s">
        <v>359</v>
      </c>
      <c r="E7" t="s">
        <v>632</v>
      </c>
    </row>
    <row r="8" spans="1:5" ht="12.75">
      <c r="A8">
        <v>2</v>
      </c>
      <c r="B8" t="s">
        <v>567</v>
      </c>
      <c r="C8" t="s">
        <v>359</v>
      </c>
      <c r="E8" t="s">
        <v>374</v>
      </c>
    </row>
    <row r="9" spans="1:5" ht="12.75">
      <c r="A9">
        <v>3</v>
      </c>
      <c r="B9" t="s">
        <v>461</v>
      </c>
      <c r="C9" t="s">
        <v>361</v>
      </c>
      <c r="D9" t="s">
        <v>420</v>
      </c>
      <c r="E9" t="s">
        <v>695</v>
      </c>
    </row>
    <row r="10" spans="1:5" ht="12.75">
      <c r="A10">
        <v>3</v>
      </c>
      <c r="B10" t="s">
        <v>489</v>
      </c>
      <c r="C10" t="s">
        <v>359</v>
      </c>
      <c r="E10" t="s">
        <v>634</v>
      </c>
    </row>
    <row r="11" spans="1:5" ht="12.75">
      <c r="A11">
        <v>3</v>
      </c>
      <c r="B11" t="s">
        <v>493</v>
      </c>
      <c r="C11" t="s">
        <v>361</v>
      </c>
      <c r="E11" t="s">
        <v>633</v>
      </c>
    </row>
    <row r="12" spans="1:5" ht="12.75">
      <c r="A12">
        <v>4</v>
      </c>
      <c r="B12" t="s">
        <v>356</v>
      </c>
      <c r="C12" t="s">
        <v>357</v>
      </c>
      <c r="E12" t="s">
        <v>635</v>
      </c>
    </row>
    <row r="13" spans="1:5" ht="12.75">
      <c r="A13">
        <v>4</v>
      </c>
      <c r="B13" t="s">
        <v>438</v>
      </c>
      <c r="C13" t="s">
        <v>359</v>
      </c>
      <c r="E13" t="s">
        <v>635</v>
      </c>
    </row>
    <row r="14" spans="1:5" ht="12.75">
      <c r="A14">
        <v>4</v>
      </c>
      <c r="B14" t="s">
        <v>448</v>
      </c>
      <c r="C14" t="s">
        <v>359</v>
      </c>
      <c r="E14" t="s">
        <v>635</v>
      </c>
    </row>
    <row r="15" spans="1:5" ht="12.75">
      <c r="A15">
        <v>6</v>
      </c>
      <c r="B15" t="s">
        <v>358</v>
      </c>
      <c r="C15" t="s">
        <v>359</v>
      </c>
      <c r="E15" t="s">
        <v>636</v>
      </c>
    </row>
    <row r="16" spans="1:5" ht="12.75">
      <c r="A16">
        <v>6</v>
      </c>
      <c r="B16" t="s">
        <v>455</v>
      </c>
      <c r="C16" t="s">
        <v>361</v>
      </c>
      <c r="E16" t="s">
        <v>637</v>
      </c>
    </row>
    <row r="17" spans="1:5" ht="12.75">
      <c r="A17">
        <v>6</v>
      </c>
      <c r="B17" t="s">
        <v>472</v>
      </c>
      <c r="C17" t="s">
        <v>361</v>
      </c>
      <c r="D17" t="s">
        <v>420</v>
      </c>
      <c r="E17" t="s">
        <v>677</v>
      </c>
    </row>
    <row r="18" spans="1:5" ht="12.75">
      <c r="A18">
        <v>7</v>
      </c>
      <c r="B18" t="s">
        <v>442</v>
      </c>
      <c r="C18" t="s">
        <v>359</v>
      </c>
      <c r="D18" t="s">
        <v>367</v>
      </c>
      <c r="E18" t="s">
        <v>620</v>
      </c>
    </row>
    <row r="19" spans="1:5" ht="12.75">
      <c r="A19">
        <v>8</v>
      </c>
      <c r="B19" t="s">
        <v>360</v>
      </c>
      <c r="C19" t="s">
        <v>361</v>
      </c>
      <c r="E19" t="s">
        <v>647</v>
      </c>
    </row>
    <row r="22" ht="12.75">
      <c r="A22" t="s">
        <v>362</v>
      </c>
    </row>
    <row r="23" spans="1:5" ht="12.75">
      <c r="A23">
        <v>1</v>
      </c>
      <c r="B23" t="s">
        <v>437</v>
      </c>
      <c r="C23" t="s">
        <v>364</v>
      </c>
      <c r="E23" t="s">
        <v>583</v>
      </c>
    </row>
    <row r="24" spans="1:5" ht="12.75">
      <c r="A24">
        <v>1</v>
      </c>
      <c r="B24" t="s">
        <v>456</v>
      </c>
      <c r="C24" t="s">
        <v>357</v>
      </c>
      <c r="E24" t="s">
        <v>581</v>
      </c>
    </row>
    <row r="25" spans="1:5" ht="12.75">
      <c r="A25">
        <v>1</v>
      </c>
      <c r="B25" t="s">
        <v>488</v>
      </c>
      <c r="C25" t="s">
        <v>374</v>
      </c>
      <c r="E25" t="s">
        <v>374</v>
      </c>
    </row>
    <row r="26" spans="1:5" ht="12.75">
      <c r="A26">
        <v>1</v>
      </c>
      <c r="B26" t="s">
        <v>553</v>
      </c>
      <c r="C26" t="s">
        <v>420</v>
      </c>
      <c r="E26" t="s">
        <v>608</v>
      </c>
    </row>
    <row r="27" spans="1:5" ht="12.75">
      <c r="A27">
        <v>2</v>
      </c>
      <c r="B27" t="s">
        <v>572</v>
      </c>
      <c r="C27" t="s">
        <v>364</v>
      </c>
      <c r="E27" t="s">
        <v>586</v>
      </c>
    </row>
    <row r="28" spans="1:5" ht="12.75">
      <c r="A28">
        <v>2</v>
      </c>
      <c r="B28" t="s">
        <v>573</v>
      </c>
      <c r="C28" t="s">
        <v>367</v>
      </c>
      <c r="E28" t="s">
        <v>585</v>
      </c>
    </row>
    <row r="29" spans="1:5" ht="12.75">
      <c r="A29">
        <v>3</v>
      </c>
      <c r="B29" t="s">
        <v>363</v>
      </c>
      <c r="C29" t="s">
        <v>364</v>
      </c>
      <c r="E29" t="s">
        <v>618</v>
      </c>
    </row>
    <row r="30" spans="1:5" ht="12.75">
      <c r="A30">
        <v>3</v>
      </c>
      <c r="B30" t="s">
        <v>461</v>
      </c>
      <c r="C30" t="s">
        <v>374</v>
      </c>
      <c r="D30" t="s">
        <v>420</v>
      </c>
      <c r="E30" t="s">
        <v>695</v>
      </c>
    </row>
    <row r="31" spans="1:5" ht="12.75">
      <c r="A31">
        <v>3</v>
      </c>
      <c r="B31" t="s">
        <v>493</v>
      </c>
      <c r="C31" t="s">
        <v>374</v>
      </c>
      <c r="E31" t="s">
        <v>633</v>
      </c>
    </row>
    <row r="32" spans="1:5" ht="12.75">
      <c r="A32">
        <v>3</v>
      </c>
      <c r="B32" t="s">
        <v>554</v>
      </c>
      <c r="C32" t="s">
        <v>373</v>
      </c>
      <c r="E32" t="s">
        <v>661</v>
      </c>
    </row>
    <row r="33" spans="1:3" ht="12.75">
      <c r="A33">
        <v>4</v>
      </c>
      <c r="B33" t="s">
        <v>365</v>
      </c>
      <c r="C33" t="s">
        <v>357</v>
      </c>
    </row>
    <row r="34" spans="1:5" ht="12.75">
      <c r="A34">
        <v>4</v>
      </c>
      <c r="B34" t="s">
        <v>444</v>
      </c>
      <c r="C34" t="s">
        <v>367</v>
      </c>
      <c r="E34" t="s">
        <v>587</v>
      </c>
    </row>
    <row r="35" spans="1:5" ht="12.75">
      <c r="A35">
        <v>4</v>
      </c>
      <c r="B35" t="s">
        <v>450</v>
      </c>
      <c r="C35" t="s">
        <v>357</v>
      </c>
      <c r="E35" t="s">
        <v>646</v>
      </c>
    </row>
    <row r="36" spans="1:5" ht="12.75">
      <c r="A36">
        <v>4</v>
      </c>
      <c r="B36" t="s">
        <v>552</v>
      </c>
      <c r="C36" t="s">
        <v>364</v>
      </c>
      <c r="E36" t="s">
        <v>583</v>
      </c>
    </row>
    <row r="37" spans="1:5" ht="12.75">
      <c r="A37">
        <v>5</v>
      </c>
      <c r="B37" t="s">
        <v>366</v>
      </c>
      <c r="C37" t="s">
        <v>367</v>
      </c>
      <c r="E37" t="s">
        <v>590</v>
      </c>
    </row>
    <row r="38" spans="1:5" ht="12.75">
      <c r="A38">
        <v>5</v>
      </c>
      <c r="B38" t="s">
        <v>368</v>
      </c>
      <c r="C38" t="s">
        <v>364</v>
      </c>
      <c r="E38" t="s">
        <v>583</v>
      </c>
    </row>
    <row r="39" spans="1:5" ht="12.75">
      <c r="A39">
        <v>5</v>
      </c>
      <c r="B39" t="s">
        <v>369</v>
      </c>
      <c r="C39" t="s">
        <v>373</v>
      </c>
      <c r="D39" t="s">
        <v>364</v>
      </c>
      <c r="E39" t="s">
        <v>735</v>
      </c>
    </row>
    <row r="40" spans="1:5" ht="12.75">
      <c r="A40">
        <v>5</v>
      </c>
      <c r="B40" t="s">
        <v>580</v>
      </c>
      <c r="C40" t="s">
        <v>420</v>
      </c>
      <c r="E40" t="s">
        <v>674</v>
      </c>
    </row>
    <row r="41" spans="1:5" ht="12.75">
      <c r="A41">
        <v>6</v>
      </c>
      <c r="B41" t="s">
        <v>370</v>
      </c>
      <c r="C41" t="s">
        <v>371</v>
      </c>
      <c r="E41" t="s">
        <v>609</v>
      </c>
    </row>
    <row r="42" spans="1:5" ht="12.75">
      <c r="A42">
        <v>6</v>
      </c>
      <c r="B42" t="s">
        <v>372</v>
      </c>
      <c r="C42" t="s">
        <v>373</v>
      </c>
      <c r="E42" t="s">
        <v>675</v>
      </c>
    </row>
    <row r="43" spans="1:5" ht="12.75">
      <c r="A43">
        <v>6</v>
      </c>
      <c r="B43" t="s">
        <v>436</v>
      </c>
      <c r="C43" t="s">
        <v>364</v>
      </c>
      <c r="E43" t="s">
        <v>671</v>
      </c>
    </row>
    <row r="44" spans="1:5" ht="12.75">
      <c r="A44">
        <v>6</v>
      </c>
      <c r="B44" t="s">
        <v>455</v>
      </c>
      <c r="C44" t="s">
        <v>374</v>
      </c>
      <c r="E44" t="s">
        <v>637</v>
      </c>
    </row>
    <row r="45" spans="1:5" ht="12.75">
      <c r="A45">
        <v>6</v>
      </c>
      <c r="B45" t="s">
        <v>472</v>
      </c>
      <c r="C45" t="s">
        <v>374</v>
      </c>
      <c r="D45" t="s">
        <v>420</v>
      </c>
      <c r="E45" t="s">
        <v>677</v>
      </c>
    </row>
    <row r="46" spans="1:5" ht="12.75">
      <c r="A46">
        <v>8</v>
      </c>
      <c r="B46" t="s">
        <v>360</v>
      </c>
      <c r="C46" t="s">
        <v>374</v>
      </c>
      <c r="E46" t="s">
        <v>647</v>
      </c>
    </row>
    <row r="47" spans="1:5" ht="12.75">
      <c r="A47">
        <v>8</v>
      </c>
      <c r="B47" t="s">
        <v>452</v>
      </c>
      <c r="C47" t="s">
        <v>373</v>
      </c>
      <c r="E47" t="s">
        <v>665</v>
      </c>
    </row>
    <row r="48" spans="1:5" ht="12.75">
      <c r="A48">
        <v>9</v>
      </c>
      <c r="B48" t="s">
        <v>435</v>
      </c>
      <c r="C48" t="s">
        <v>364</v>
      </c>
      <c r="E48" t="s">
        <v>648</v>
      </c>
    </row>
    <row r="49" spans="1:5" ht="12.75">
      <c r="A49">
        <v>9</v>
      </c>
      <c r="B49" t="s">
        <v>445</v>
      </c>
      <c r="C49" t="s">
        <v>367</v>
      </c>
      <c r="E49" t="s">
        <v>649</v>
      </c>
    </row>
    <row r="52" ht="12.75">
      <c r="A52" t="s">
        <v>375</v>
      </c>
    </row>
    <row r="53" spans="1:5" ht="12.75">
      <c r="A53">
        <v>1</v>
      </c>
      <c r="B53" t="s">
        <v>376</v>
      </c>
      <c r="C53" t="s">
        <v>357</v>
      </c>
      <c r="E53" t="s">
        <v>681</v>
      </c>
    </row>
    <row r="54" spans="1:5" ht="12.75">
      <c r="A54">
        <v>2</v>
      </c>
      <c r="B54" t="s">
        <v>377</v>
      </c>
      <c r="C54" t="s">
        <v>357</v>
      </c>
      <c r="E54" t="s">
        <v>689</v>
      </c>
    </row>
    <row r="55" spans="1:5" ht="12.75">
      <c r="A55">
        <v>2</v>
      </c>
      <c r="B55" t="s">
        <v>378</v>
      </c>
      <c r="C55" t="s">
        <v>357</v>
      </c>
      <c r="E55" t="s">
        <v>638</v>
      </c>
    </row>
    <row r="56" spans="1:5" ht="12.75">
      <c r="A56">
        <v>2</v>
      </c>
      <c r="B56" t="s">
        <v>379</v>
      </c>
      <c r="C56" t="s">
        <v>357</v>
      </c>
      <c r="E56" t="s">
        <v>591</v>
      </c>
    </row>
    <row r="57" spans="1:5" ht="12.75">
      <c r="A57">
        <v>3</v>
      </c>
      <c r="B57" t="s">
        <v>380</v>
      </c>
      <c r="C57" t="s">
        <v>357</v>
      </c>
      <c r="E57" t="s">
        <v>640</v>
      </c>
    </row>
    <row r="58" spans="1:5" ht="12.75">
      <c r="A58">
        <v>4</v>
      </c>
      <c r="B58" t="s">
        <v>457</v>
      </c>
      <c r="C58" t="s">
        <v>373</v>
      </c>
      <c r="E58" t="s">
        <v>669</v>
      </c>
    </row>
    <row r="59" spans="1:5" ht="12.75">
      <c r="A59">
        <v>4</v>
      </c>
      <c r="B59" t="s">
        <v>484</v>
      </c>
      <c r="C59" t="s">
        <v>359</v>
      </c>
      <c r="E59" t="s">
        <v>639</v>
      </c>
    </row>
    <row r="60" spans="1:5" ht="12.75">
      <c r="A60">
        <v>5</v>
      </c>
      <c r="B60" t="s">
        <v>439</v>
      </c>
      <c r="C60" t="s">
        <v>357</v>
      </c>
      <c r="E60" t="s">
        <v>639</v>
      </c>
    </row>
    <row r="61" spans="1:5" ht="12.75">
      <c r="A61">
        <v>6</v>
      </c>
      <c r="B61" t="s">
        <v>446</v>
      </c>
      <c r="C61" t="s">
        <v>357</v>
      </c>
      <c r="E61" t="s">
        <v>667</v>
      </c>
    </row>
    <row r="64" ht="12.75">
      <c r="A64" t="s">
        <v>381</v>
      </c>
    </row>
    <row r="65" spans="1:5" ht="12.75">
      <c r="A65">
        <v>1</v>
      </c>
      <c r="B65" t="s">
        <v>483</v>
      </c>
      <c r="C65" t="s">
        <v>383</v>
      </c>
      <c r="E65" t="s">
        <v>660</v>
      </c>
    </row>
    <row r="66" spans="1:5" ht="12.75">
      <c r="A66">
        <v>2</v>
      </c>
      <c r="B66" t="s">
        <v>460</v>
      </c>
      <c r="C66" t="s">
        <v>359</v>
      </c>
      <c r="E66" t="s">
        <v>373</v>
      </c>
    </row>
    <row r="67" spans="1:5" ht="12.75">
      <c r="A67">
        <v>3</v>
      </c>
      <c r="B67" t="s">
        <v>469</v>
      </c>
      <c r="C67" t="s">
        <v>383</v>
      </c>
      <c r="E67" t="s">
        <v>659</v>
      </c>
    </row>
    <row r="68" spans="1:5" ht="12.75">
      <c r="A68">
        <v>3</v>
      </c>
      <c r="B68" t="s">
        <v>554</v>
      </c>
      <c r="C68" t="s">
        <v>361</v>
      </c>
      <c r="E68" t="s">
        <v>661</v>
      </c>
    </row>
    <row r="69" spans="1:5" ht="12.75">
      <c r="A69">
        <v>3</v>
      </c>
      <c r="B69" t="s">
        <v>555</v>
      </c>
      <c r="C69" t="s">
        <v>359</v>
      </c>
      <c r="E69" t="s">
        <v>659</v>
      </c>
    </row>
    <row r="70" spans="1:5" ht="12.75">
      <c r="A70">
        <v>4</v>
      </c>
      <c r="B70" t="s">
        <v>382</v>
      </c>
      <c r="C70" t="s">
        <v>383</v>
      </c>
      <c r="E70" t="s">
        <v>663</v>
      </c>
    </row>
    <row r="71" spans="1:5" ht="12.75">
      <c r="A71">
        <v>4</v>
      </c>
      <c r="B71" t="s">
        <v>457</v>
      </c>
      <c r="C71" t="s">
        <v>458</v>
      </c>
      <c r="E71" t="s">
        <v>669</v>
      </c>
    </row>
    <row r="72" spans="1:5" ht="12.75">
      <c r="A72">
        <v>5</v>
      </c>
      <c r="B72" t="s">
        <v>369</v>
      </c>
      <c r="C72" t="s">
        <v>361</v>
      </c>
      <c r="D72" t="s">
        <v>364</v>
      </c>
      <c r="E72" t="s">
        <v>582</v>
      </c>
    </row>
    <row r="73" spans="1:5" ht="12.75">
      <c r="A73">
        <v>5</v>
      </c>
      <c r="B73" t="s">
        <v>451</v>
      </c>
      <c r="C73" t="s">
        <v>383</v>
      </c>
      <c r="E73" t="s">
        <v>662</v>
      </c>
    </row>
    <row r="74" spans="1:5" ht="12.75">
      <c r="A74">
        <v>5</v>
      </c>
      <c r="B74" t="s">
        <v>550</v>
      </c>
      <c r="C74" t="s">
        <v>383</v>
      </c>
      <c r="E74" t="s">
        <v>664</v>
      </c>
    </row>
    <row r="75" spans="1:5" ht="12.75">
      <c r="A75">
        <v>6</v>
      </c>
      <c r="B75" t="s">
        <v>372</v>
      </c>
      <c r="C75" t="s">
        <v>361</v>
      </c>
      <c r="E75" t="s">
        <v>675</v>
      </c>
    </row>
    <row r="76" spans="1:5" ht="12.75">
      <c r="A76">
        <v>7</v>
      </c>
      <c r="B76" t="s">
        <v>574</v>
      </c>
      <c r="C76" t="s">
        <v>383</v>
      </c>
      <c r="E76" t="s">
        <v>373</v>
      </c>
    </row>
    <row r="77" spans="1:5" ht="12.75">
      <c r="A77">
        <v>8</v>
      </c>
      <c r="B77" t="s">
        <v>452</v>
      </c>
      <c r="C77" t="s">
        <v>361</v>
      </c>
      <c r="E77" t="s">
        <v>665</v>
      </c>
    </row>
    <row r="78" spans="1:5" ht="12.75">
      <c r="A78">
        <v>9</v>
      </c>
      <c r="B78" t="s">
        <v>487</v>
      </c>
      <c r="C78" t="s">
        <v>383</v>
      </c>
      <c r="E78" t="s">
        <v>666</v>
      </c>
    </row>
    <row r="81" ht="12.75">
      <c r="A81" t="s">
        <v>384</v>
      </c>
    </row>
    <row r="82" spans="1:5" ht="12.75">
      <c r="A82">
        <v>1</v>
      </c>
      <c r="B82" t="s">
        <v>385</v>
      </c>
      <c r="C82" t="s">
        <v>357</v>
      </c>
      <c r="E82" t="s">
        <v>678</v>
      </c>
    </row>
    <row r="83" spans="1:5" ht="12.75">
      <c r="A83">
        <v>1</v>
      </c>
      <c r="B83" t="s">
        <v>386</v>
      </c>
      <c r="C83" t="s">
        <v>357</v>
      </c>
      <c r="E83" t="s">
        <v>626</v>
      </c>
    </row>
    <row r="84" spans="1:5" ht="12.75">
      <c r="A84">
        <v>1</v>
      </c>
      <c r="B84" t="s">
        <v>475</v>
      </c>
      <c r="C84" t="s">
        <v>357</v>
      </c>
      <c r="E84" t="s">
        <v>684</v>
      </c>
    </row>
    <row r="85" spans="1:5" ht="12.75">
      <c r="A85">
        <v>2</v>
      </c>
      <c r="B85" t="s">
        <v>387</v>
      </c>
      <c r="C85" t="s">
        <v>367</v>
      </c>
      <c r="E85" t="s">
        <v>627</v>
      </c>
    </row>
    <row r="86" spans="1:5" ht="12.75">
      <c r="A86">
        <v>2</v>
      </c>
      <c r="B86" t="s">
        <v>434</v>
      </c>
      <c r="C86" t="s">
        <v>364</v>
      </c>
      <c r="E86" t="s">
        <v>614</v>
      </c>
    </row>
    <row r="87" spans="1:5" ht="12.75">
      <c r="A87">
        <v>2</v>
      </c>
      <c r="B87" t="s">
        <v>441</v>
      </c>
      <c r="C87" t="s">
        <v>367</v>
      </c>
      <c r="E87" t="s">
        <v>615</v>
      </c>
    </row>
    <row r="88" spans="1:5" ht="12.75">
      <c r="A88">
        <v>2</v>
      </c>
      <c r="B88" t="s">
        <v>453</v>
      </c>
      <c r="C88" t="s">
        <v>371</v>
      </c>
      <c r="E88" t="s">
        <v>609</v>
      </c>
    </row>
    <row r="89" spans="1:5" ht="12.75">
      <c r="A89">
        <v>2</v>
      </c>
      <c r="B89" t="s">
        <v>454</v>
      </c>
      <c r="C89" t="s">
        <v>374</v>
      </c>
      <c r="E89" t="s">
        <v>686</v>
      </c>
    </row>
    <row r="90" spans="1:5" ht="12.75">
      <c r="A90">
        <v>2</v>
      </c>
      <c r="B90" t="s">
        <v>460</v>
      </c>
      <c r="C90" t="s">
        <v>373</v>
      </c>
      <c r="E90" t="s">
        <v>373</v>
      </c>
    </row>
    <row r="91" spans="1:5" ht="12.75">
      <c r="A91">
        <v>2</v>
      </c>
      <c r="B91" t="s">
        <v>480</v>
      </c>
      <c r="C91" t="s">
        <v>374</v>
      </c>
      <c r="E91" t="s">
        <v>632</v>
      </c>
    </row>
    <row r="92" spans="1:5" ht="12.75">
      <c r="A92">
        <v>2</v>
      </c>
      <c r="B92" t="s">
        <v>566</v>
      </c>
      <c r="C92" t="s">
        <v>357</v>
      </c>
      <c r="E92" t="s">
        <v>694</v>
      </c>
    </row>
    <row r="93" spans="1:5" ht="12.75">
      <c r="A93">
        <v>2</v>
      </c>
      <c r="B93" t="s">
        <v>567</v>
      </c>
      <c r="C93" t="s">
        <v>374</v>
      </c>
      <c r="E93" t="s">
        <v>374</v>
      </c>
    </row>
    <row r="94" spans="1:5" ht="12.75">
      <c r="A94">
        <v>2</v>
      </c>
      <c r="B94" t="s">
        <v>576</v>
      </c>
      <c r="C94" t="s">
        <v>357</v>
      </c>
      <c r="E94" t="s">
        <v>658</v>
      </c>
    </row>
    <row r="95" spans="1:5" ht="12.75">
      <c r="A95">
        <v>3</v>
      </c>
      <c r="B95" t="s">
        <v>388</v>
      </c>
      <c r="C95" t="s">
        <v>357</v>
      </c>
      <c r="E95" t="s">
        <v>616</v>
      </c>
    </row>
    <row r="96" spans="1:5" ht="12.75">
      <c r="A96">
        <v>3</v>
      </c>
      <c r="B96" t="s">
        <v>389</v>
      </c>
      <c r="C96" t="s">
        <v>357</v>
      </c>
      <c r="E96" t="s">
        <v>628</v>
      </c>
    </row>
    <row r="97" spans="1:5" ht="12.75">
      <c r="A97">
        <v>3</v>
      </c>
      <c r="B97" t="s">
        <v>465</v>
      </c>
      <c r="C97" t="s">
        <v>367</v>
      </c>
      <c r="E97" t="s">
        <v>588</v>
      </c>
    </row>
    <row r="98" spans="1:5" ht="12.75">
      <c r="A98">
        <v>3</v>
      </c>
      <c r="B98" t="s">
        <v>478</v>
      </c>
      <c r="C98" t="s">
        <v>371</v>
      </c>
      <c r="E98" t="s">
        <v>621</v>
      </c>
    </row>
    <row r="99" spans="1:5" ht="12.75">
      <c r="A99">
        <v>3</v>
      </c>
      <c r="B99" t="s">
        <v>485</v>
      </c>
      <c r="C99" t="s">
        <v>357</v>
      </c>
      <c r="E99" t="s">
        <v>613</v>
      </c>
    </row>
    <row r="100" spans="1:5" ht="12.75">
      <c r="A100">
        <v>3</v>
      </c>
      <c r="B100" t="s">
        <v>489</v>
      </c>
      <c r="C100" t="s">
        <v>374</v>
      </c>
      <c r="E100" t="s">
        <v>634</v>
      </c>
    </row>
    <row r="101" spans="1:5" ht="12.75">
      <c r="A101">
        <v>3</v>
      </c>
      <c r="B101" t="s">
        <v>491</v>
      </c>
      <c r="C101" t="s">
        <v>357</v>
      </c>
      <c r="E101" t="s">
        <v>610</v>
      </c>
    </row>
    <row r="102" spans="1:5" ht="12.75">
      <c r="A102">
        <v>3</v>
      </c>
      <c r="B102" t="s">
        <v>555</v>
      </c>
      <c r="C102" t="s">
        <v>373</v>
      </c>
      <c r="E102" t="s">
        <v>659</v>
      </c>
    </row>
    <row r="103" spans="1:5" ht="12.75">
      <c r="A103">
        <v>3</v>
      </c>
      <c r="B103" t="s">
        <v>575</v>
      </c>
      <c r="C103" t="s">
        <v>357</v>
      </c>
      <c r="E103" t="s">
        <v>658</v>
      </c>
    </row>
    <row r="104" spans="1:5" ht="12.75">
      <c r="A104">
        <v>4</v>
      </c>
      <c r="B104" t="s">
        <v>390</v>
      </c>
      <c r="C104" t="s">
        <v>391</v>
      </c>
      <c r="E104" t="s">
        <v>652</v>
      </c>
    </row>
    <row r="105" spans="1:5" ht="12.75">
      <c r="A105">
        <v>4</v>
      </c>
      <c r="B105" t="s">
        <v>392</v>
      </c>
      <c r="C105" t="s">
        <v>357</v>
      </c>
      <c r="E105" t="s">
        <v>653</v>
      </c>
    </row>
    <row r="106" spans="1:5" ht="12.75">
      <c r="A106">
        <v>4</v>
      </c>
      <c r="B106" t="s">
        <v>438</v>
      </c>
      <c r="C106" t="s">
        <v>374</v>
      </c>
      <c r="E106" t="s">
        <v>635</v>
      </c>
    </row>
    <row r="107" spans="1:5" ht="12.75">
      <c r="A107">
        <v>4</v>
      </c>
      <c r="B107" t="s">
        <v>448</v>
      </c>
      <c r="C107" t="s">
        <v>374</v>
      </c>
      <c r="E107" t="s">
        <v>635</v>
      </c>
    </row>
    <row r="108" spans="1:5" ht="12.75">
      <c r="A108">
        <v>4</v>
      </c>
      <c r="B108" t="s">
        <v>468</v>
      </c>
      <c r="C108" t="s">
        <v>357</v>
      </c>
      <c r="E108" t="s">
        <v>696</v>
      </c>
    </row>
    <row r="109" spans="1:5" ht="12.75">
      <c r="A109">
        <v>4</v>
      </c>
      <c r="B109" t="s">
        <v>470</v>
      </c>
      <c r="C109" t="s">
        <v>420</v>
      </c>
      <c r="E109" t="s">
        <v>644</v>
      </c>
    </row>
    <row r="110" spans="1:5" ht="12.75">
      <c r="A110">
        <v>4</v>
      </c>
      <c r="B110" t="s">
        <v>471</v>
      </c>
      <c r="C110" t="s">
        <v>420</v>
      </c>
      <c r="E110" t="s">
        <v>693</v>
      </c>
    </row>
    <row r="111" spans="1:5" ht="12.75">
      <c r="A111">
        <v>4</v>
      </c>
      <c r="B111" t="s">
        <v>481</v>
      </c>
      <c r="C111" t="s">
        <v>420</v>
      </c>
      <c r="E111" t="s">
        <v>644</v>
      </c>
    </row>
    <row r="112" spans="1:5" ht="12.75">
      <c r="A112">
        <v>4</v>
      </c>
      <c r="B112" t="s">
        <v>484</v>
      </c>
      <c r="C112" t="s">
        <v>458</v>
      </c>
      <c r="E112" t="s">
        <v>639</v>
      </c>
    </row>
    <row r="113" spans="1:5" ht="12.75">
      <c r="A113">
        <v>5</v>
      </c>
      <c r="B113" t="s">
        <v>393</v>
      </c>
      <c r="C113" t="s">
        <v>357</v>
      </c>
      <c r="E113" t="s">
        <v>593</v>
      </c>
    </row>
    <row r="114" spans="1:5" ht="12.75">
      <c r="A114">
        <v>5</v>
      </c>
      <c r="B114" t="s">
        <v>433</v>
      </c>
      <c r="C114" t="s">
        <v>357</v>
      </c>
      <c r="E114" t="s">
        <v>593</v>
      </c>
    </row>
    <row r="115" spans="1:5" ht="12.75">
      <c r="A115">
        <v>5</v>
      </c>
      <c r="B115" t="s">
        <v>479</v>
      </c>
      <c r="C115" t="s">
        <v>357</v>
      </c>
      <c r="E115" t="s">
        <v>613</v>
      </c>
    </row>
    <row r="116" spans="1:5" ht="12.75">
      <c r="A116">
        <v>5</v>
      </c>
      <c r="B116" t="s">
        <v>569</v>
      </c>
      <c r="C116" t="s">
        <v>357</v>
      </c>
      <c r="E116" t="s">
        <v>691</v>
      </c>
    </row>
    <row r="117" spans="1:5" ht="12.75">
      <c r="A117">
        <v>6</v>
      </c>
      <c r="B117" t="s">
        <v>394</v>
      </c>
      <c r="C117" t="s">
        <v>371</v>
      </c>
      <c r="E117" t="s">
        <v>655</v>
      </c>
    </row>
    <row r="118" spans="1:5" ht="12.75">
      <c r="A118">
        <v>6</v>
      </c>
      <c r="B118" t="s">
        <v>358</v>
      </c>
      <c r="C118" t="s">
        <v>374</v>
      </c>
      <c r="E118" t="s">
        <v>636</v>
      </c>
    </row>
    <row r="119" spans="1:5" ht="12.75">
      <c r="A119">
        <v>6</v>
      </c>
      <c r="B119" t="s">
        <v>449</v>
      </c>
      <c r="C119" t="s">
        <v>357</v>
      </c>
      <c r="E119" t="s">
        <v>697</v>
      </c>
    </row>
    <row r="120" spans="1:5" ht="12.75">
      <c r="A120">
        <v>6</v>
      </c>
      <c r="B120" t="s">
        <v>459</v>
      </c>
      <c r="C120" t="s">
        <v>357</v>
      </c>
      <c r="E120" t="s">
        <v>676</v>
      </c>
    </row>
    <row r="121" spans="1:5" ht="12.75">
      <c r="A121">
        <v>7</v>
      </c>
      <c r="B121" t="s">
        <v>442</v>
      </c>
      <c r="C121" t="s">
        <v>374</v>
      </c>
      <c r="D121" t="s">
        <v>367</v>
      </c>
      <c r="E121" t="s">
        <v>587</v>
      </c>
    </row>
    <row r="122" spans="1:5" ht="12.75">
      <c r="A122">
        <v>7</v>
      </c>
      <c r="B122" t="s">
        <v>462</v>
      </c>
      <c r="C122" t="s">
        <v>367</v>
      </c>
      <c r="E122" t="s">
        <v>654</v>
      </c>
    </row>
    <row r="123" spans="1:5" ht="12.75">
      <c r="A123">
        <v>8</v>
      </c>
      <c r="B123" t="s">
        <v>395</v>
      </c>
      <c r="C123" t="s">
        <v>371</v>
      </c>
      <c r="E123" t="s">
        <v>622</v>
      </c>
    </row>
    <row r="124" spans="1:5" ht="12.75">
      <c r="A124">
        <v>6</v>
      </c>
      <c r="B124" t="s">
        <v>443</v>
      </c>
      <c r="C124" t="s">
        <v>357</v>
      </c>
      <c r="E124" t="s">
        <v>672</v>
      </c>
    </row>
    <row r="125" spans="1:5" ht="12.75">
      <c r="A125">
        <v>8</v>
      </c>
      <c r="B125" t="s">
        <v>482</v>
      </c>
      <c r="C125" t="s">
        <v>364</v>
      </c>
      <c r="E125" t="s">
        <v>364</v>
      </c>
    </row>
    <row r="128" ht="12.75">
      <c r="A128" t="s">
        <v>396</v>
      </c>
    </row>
    <row r="129" spans="1:5" ht="12.75">
      <c r="A129">
        <v>1</v>
      </c>
      <c r="B129" t="s">
        <v>437</v>
      </c>
      <c r="C129" t="s">
        <v>361</v>
      </c>
      <c r="E129" t="s">
        <v>583</v>
      </c>
    </row>
    <row r="130" spans="1:5" ht="12.75">
      <c r="A130">
        <v>2</v>
      </c>
      <c r="B130" s="2" t="s">
        <v>432</v>
      </c>
      <c r="C130" t="s">
        <v>383</v>
      </c>
      <c r="E130" t="s">
        <v>617</v>
      </c>
    </row>
    <row r="131" spans="1:5" ht="12.75">
      <c r="A131">
        <v>2</v>
      </c>
      <c r="B131" t="s">
        <v>434</v>
      </c>
      <c r="C131" t="s">
        <v>359</v>
      </c>
      <c r="E131" t="s">
        <v>614</v>
      </c>
    </row>
    <row r="132" spans="1:5" ht="12.75">
      <c r="A132">
        <v>2</v>
      </c>
      <c r="B132" t="s">
        <v>572</v>
      </c>
      <c r="C132" t="s">
        <v>361</v>
      </c>
      <c r="E132" t="s">
        <v>584</v>
      </c>
    </row>
    <row r="133" spans="1:5" ht="12.75">
      <c r="A133">
        <v>3</v>
      </c>
      <c r="B133" t="s">
        <v>363</v>
      </c>
      <c r="C133" t="s">
        <v>361</v>
      </c>
      <c r="E133" t="s">
        <v>619</v>
      </c>
    </row>
    <row r="134" spans="1:5" ht="12.75">
      <c r="A134">
        <v>4</v>
      </c>
      <c r="B134" t="s">
        <v>552</v>
      </c>
      <c r="C134" t="s">
        <v>361</v>
      </c>
      <c r="E134" t="s">
        <v>583</v>
      </c>
    </row>
    <row r="135" spans="1:5" ht="12.75">
      <c r="A135">
        <v>5</v>
      </c>
      <c r="B135" t="s">
        <v>368</v>
      </c>
      <c r="C135" t="s">
        <v>361</v>
      </c>
      <c r="E135" t="s">
        <v>583</v>
      </c>
    </row>
    <row r="136" spans="1:5" ht="12.75">
      <c r="A136">
        <v>5</v>
      </c>
      <c r="B136" t="s">
        <v>369</v>
      </c>
      <c r="C136" t="s">
        <v>361</v>
      </c>
      <c r="D136" t="s">
        <v>373</v>
      </c>
      <c r="E136" t="s">
        <v>735</v>
      </c>
    </row>
    <row r="137" spans="1:5" ht="12.75">
      <c r="A137">
        <v>6</v>
      </c>
      <c r="B137" t="s">
        <v>436</v>
      </c>
      <c r="C137" t="s">
        <v>361</v>
      </c>
      <c r="E137" t="s">
        <v>671</v>
      </c>
    </row>
    <row r="138" spans="1:5" ht="12.75">
      <c r="A138">
        <v>7</v>
      </c>
      <c r="B138" t="s">
        <v>447</v>
      </c>
      <c r="C138" t="s">
        <v>383</v>
      </c>
      <c r="E138" t="s">
        <v>364</v>
      </c>
    </row>
    <row r="139" spans="1:5" ht="12.75">
      <c r="A139">
        <v>8</v>
      </c>
      <c r="B139" t="s">
        <v>397</v>
      </c>
      <c r="C139" t="s">
        <v>383</v>
      </c>
      <c r="E139" t="s">
        <v>692</v>
      </c>
    </row>
    <row r="140" spans="1:5" ht="12.75">
      <c r="A140">
        <v>8</v>
      </c>
      <c r="B140" t="s">
        <v>482</v>
      </c>
      <c r="C140" t="s">
        <v>359</v>
      </c>
      <c r="E140" t="s">
        <v>364</v>
      </c>
    </row>
    <row r="141" spans="1:5" ht="12.75">
      <c r="A141">
        <v>9</v>
      </c>
      <c r="B141" t="s">
        <v>435</v>
      </c>
      <c r="C141" t="s">
        <v>361</v>
      </c>
      <c r="E141" t="s">
        <v>648</v>
      </c>
    </row>
    <row r="144" ht="12.75">
      <c r="A144" t="s">
        <v>398</v>
      </c>
    </row>
    <row r="145" spans="1:5" ht="12.75">
      <c r="A145">
        <v>1</v>
      </c>
      <c r="B145" t="s">
        <v>440</v>
      </c>
      <c r="C145" t="s">
        <v>357</v>
      </c>
      <c r="E145" t="s">
        <v>587</v>
      </c>
    </row>
    <row r="146" spans="1:5" ht="12.75">
      <c r="A146">
        <v>2</v>
      </c>
      <c r="B146" t="s">
        <v>387</v>
      </c>
      <c r="C146" t="s">
        <v>359</v>
      </c>
      <c r="E146" t="s">
        <v>627</v>
      </c>
    </row>
    <row r="147" spans="1:5" ht="12.75">
      <c r="A147">
        <v>2</v>
      </c>
      <c r="B147" t="s">
        <v>441</v>
      </c>
      <c r="C147" t="s">
        <v>359</v>
      </c>
      <c r="E147" t="s">
        <v>615</v>
      </c>
    </row>
    <row r="148" spans="1:5" ht="12.75">
      <c r="A148">
        <v>2</v>
      </c>
      <c r="B148" t="s">
        <v>573</v>
      </c>
      <c r="C148" t="s">
        <v>361</v>
      </c>
      <c r="E148" t="s">
        <v>588</v>
      </c>
    </row>
    <row r="149" spans="1:5" ht="12.75">
      <c r="A149">
        <v>3</v>
      </c>
      <c r="B149" t="s">
        <v>465</v>
      </c>
      <c r="C149" t="s">
        <v>359</v>
      </c>
      <c r="E149" t="s">
        <v>588</v>
      </c>
    </row>
    <row r="150" spans="1:5" ht="12.75">
      <c r="A150">
        <v>4</v>
      </c>
      <c r="B150" t="s">
        <v>399</v>
      </c>
      <c r="C150" t="s">
        <v>383</v>
      </c>
      <c r="E150" t="s">
        <v>367</v>
      </c>
    </row>
    <row r="151" spans="1:5" ht="12.75">
      <c r="A151">
        <v>4</v>
      </c>
      <c r="B151" t="s">
        <v>444</v>
      </c>
      <c r="C151" t="s">
        <v>361</v>
      </c>
      <c r="E151" t="s">
        <v>587</v>
      </c>
    </row>
    <row r="152" spans="1:5" ht="12.75">
      <c r="A152">
        <v>5</v>
      </c>
      <c r="B152" t="s">
        <v>366</v>
      </c>
      <c r="C152" t="s">
        <v>361</v>
      </c>
      <c r="E152" t="s">
        <v>590</v>
      </c>
    </row>
    <row r="153" spans="1:5" ht="12.75">
      <c r="A153">
        <v>5</v>
      </c>
      <c r="B153" t="s">
        <v>612</v>
      </c>
      <c r="C153" t="s">
        <v>383</v>
      </c>
      <c r="E153" t="s">
        <v>611</v>
      </c>
    </row>
    <row r="154" spans="1:5" ht="12.75">
      <c r="A154">
        <v>5</v>
      </c>
      <c r="B154" t="s">
        <v>466</v>
      </c>
      <c r="C154" t="s">
        <v>357</v>
      </c>
      <c r="E154" t="s">
        <v>367</v>
      </c>
    </row>
    <row r="155" spans="1:5" ht="12.75">
      <c r="A155">
        <v>5</v>
      </c>
      <c r="B155" t="s">
        <v>562</v>
      </c>
      <c r="C155" t="s">
        <v>477</v>
      </c>
      <c r="E155" t="s">
        <v>625</v>
      </c>
    </row>
    <row r="156" spans="1:5" ht="12.75">
      <c r="A156">
        <v>7</v>
      </c>
      <c r="B156" t="s">
        <v>442</v>
      </c>
      <c r="C156" t="s">
        <v>359</v>
      </c>
      <c r="D156" t="s">
        <v>374</v>
      </c>
      <c r="E156" t="s">
        <v>620</v>
      </c>
    </row>
    <row r="157" spans="1:5" ht="12.75">
      <c r="A157">
        <v>7</v>
      </c>
      <c r="B157" t="s">
        <v>462</v>
      </c>
      <c r="C157" t="s">
        <v>359</v>
      </c>
      <c r="E157" t="s">
        <v>654</v>
      </c>
    </row>
    <row r="158" spans="1:5" ht="12.75">
      <c r="A158">
        <v>7</v>
      </c>
      <c r="B158" t="s">
        <v>490</v>
      </c>
      <c r="C158" t="s">
        <v>371</v>
      </c>
      <c r="E158" t="s">
        <v>651</v>
      </c>
    </row>
    <row r="159" spans="1:5" ht="12.75">
      <c r="A159">
        <v>9</v>
      </c>
      <c r="B159" t="s">
        <v>445</v>
      </c>
      <c r="C159" t="s">
        <v>361</v>
      </c>
      <c r="E159" t="s">
        <v>649</v>
      </c>
    </row>
    <row r="162" ht="12.75">
      <c r="A162" t="s">
        <v>400</v>
      </c>
    </row>
    <row r="163" spans="1:5" ht="12.75">
      <c r="A163">
        <v>1</v>
      </c>
      <c r="B163" t="s">
        <v>401</v>
      </c>
      <c r="C163" t="s">
        <v>357</v>
      </c>
      <c r="E163" t="s">
        <v>679</v>
      </c>
    </row>
    <row r="164" spans="1:5" ht="12.75">
      <c r="A164">
        <v>1</v>
      </c>
      <c r="B164" t="s">
        <v>467</v>
      </c>
      <c r="C164" t="s">
        <v>357</v>
      </c>
      <c r="E164" t="s">
        <v>371</v>
      </c>
    </row>
    <row r="165" spans="1:5" ht="12.75">
      <c r="A165">
        <v>2</v>
      </c>
      <c r="B165" t="s">
        <v>402</v>
      </c>
      <c r="C165" t="s">
        <v>357</v>
      </c>
      <c r="E165" t="s">
        <v>609</v>
      </c>
    </row>
    <row r="166" spans="1:5" ht="12.75">
      <c r="A166">
        <v>2</v>
      </c>
      <c r="B166" t="s">
        <v>453</v>
      </c>
      <c r="C166" t="s">
        <v>359</v>
      </c>
      <c r="E166" t="s">
        <v>609</v>
      </c>
    </row>
    <row r="167" spans="1:5" ht="12.75">
      <c r="A167">
        <v>2</v>
      </c>
      <c r="B167" t="s">
        <v>556</v>
      </c>
      <c r="C167" t="s">
        <v>357</v>
      </c>
      <c r="E167" t="s">
        <v>650</v>
      </c>
    </row>
    <row r="168" spans="1:5" ht="12.75">
      <c r="A168">
        <v>3</v>
      </c>
      <c r="B168" t="s">
        <v>403</v>
      </c>
      <c r="C168" t="s">
        <v>357</v>
      </c>
      <c r="E168" t="s">
        <v>609</v>
      </c>
    </row>
    <row r="169" spans="1:5" ht="12.75">
      <c r="A169">
        <v>3</v>
      </c>
      <c r="B169" t="s">
        <v>478</v>
      </c>
      <c r="C169" t="s">
        <v>359</v>
      </c>
      <c r="E169" t="s">
        <v>621</v>
      </c>
    </row>
    <row r="170" spans="1:5" ht="12.75">
      <c r="A170">
        <v>3</v>
      </c>
      <c r="B170" t="s">
        <v>579</v>
      </c>
      <c r="C170" t="s">
        <v>357</v>
      </c>
      <c r="E170" t="s">
        <v>371</v>
      </c>
    </row>
    <row r="171" spans="1:5" ht="12.75">
      <c r="A171">
        <v>4</v>
      </c>
      <c r="B171" t="s">
        <v>404</v>
      </c>
      <c r="C171" t="s">
        <v>357</v>
      </c>
      <c r="E171" t="s">
        <v>673</v>
      </c>
    </row>
    <row r="172" spans="1:5" ht="12.75">
      <c r="A172">
        <v>4</v>
      </c>
      <c r="B172" t="s">
        <v>405</v>
      </c>
      <c r="C172" t="s">
        <v>357</v>
      </c>
      <c r="E172" t="s">
        <v>371</v>
      </c>
    </row>
    <row r="173" spans="1:5" ht="12.75">
      <c r="A173">
        <v>5</v>
      </c>
      <c r="B173" t="s">
        <v>406</v>
      </c>
      <c r="C173" t="s">
        <v>357</v>
      </c>
      <c r="E173" t="s">
        <v>609</v>
      </c>
    </row>
    <row r="174" spans="1:5" ht="12.75">
      <c r="A174">
        <v>5</v>
      </c>
      <c r="B174" t="s">
        <v>407</v>
      </c>
      <c r="C174" t="s">
        <v>383</v>
      </c>
      <c r="E174" t="s">
        <v>656</v>
      </c>
    </row>
    <row r="175" spans="1:5" ht="12.75">
      <c r="A175">
        <v>5</v>
      </c>
      <c r="B175" t="s">
        <v>578</v>
      </c>
      <c r="C175" t="s">
        <v>357</v>
      </c>
      <c r="E175" t="s">
        <v>650</v>
      </c>
    </row>
    <row r="176" spans="1:5" ht="12.75">
      <c r="A176">
        <v>6</v>
      </c>
      <c r="B176" t="s">
        <v>370</v>
      </c>
      <c r="C176" t="s">
        <v>361</v>
      </c>
      <c r="E176" t="s">
        <v>609</v>
      </c>
    </row>
    <row r="177" spans="1:5" ht="12.75">
      <c r="A177">
        <v>6</v>
      </c>
      <c r="B177" t="s">
        <v>408</v>
      </c>
      <c r="C177" t="s">
        <v>357</v>
      </c>
      <c r="E177" t="s">
        <v>650</v>
      </c>
    </row>
    <row r="178" spans="1:5" ht="12.75">
      <c r="A178">
        <v>6</v>
      </c>
      <c r="B178" t="s">
        <v>394</v>
      </c>
      <c r="C178" t="s">
        <v>359</v>
      </c>
      <c r="E178" t="s">
        <v>655</v>
      </c>
    </row>
    <row r="179" spans="1:5" ht="12.75">
      <c r="A179">
        <v>6</v>
      </c>
      <c r="B179" t="s">
        <v>568</v>
      </c>
      <c r="C179" t="s">
        <v>357</v>
      </c>
      <c r="E179" t="s">
        <v>622</v>
      </c>
    </row>
    <row r="180" spans="1:5" ht="12.75">
      <c r="A180">
        <v>7</v>
      </c>
      <c r="B180" t="s">
        <v>490</v>
      </c>
      <c r="C180" t="s">
        <v>367</v>
      </c>
      <c r="E180" t="s">
        <v>651</v>
      </c>
    </row>
    <row r="181" spans="1:5" ht="12.75">
      <c r="A181">
        <v>7</v>
      </c>
      <c r="B181" t="s">
        <v>565</v>
      </c>
      <c r="C181" t="s">
        <v>477</v>
      </c>
      <c r="E181" t="s">
        <v>623</v>
      </c>
    </row>
    <row r="182" spans="1:5" ht="12.75">
      <c r="A182">
        <v>8</v>
      </c>
      <c r="B182" t="s">
        <v>395</v>
      </c>
      <c r="C182" t="s">
        <v>359</v>
      </c>
      <c r="E182" t="s">
        <v>622</v>
      </c>
    </row>
    <row r="183" spans="1:5" ht="12.75">
      <c r="A183">
        <v>8</v>
      </c>
      <c r="B183" t="s">
        <v>463</v>
      </c>
      <c r="C183" t="s">
        <v>383</v>
      </c>
      <c r="E183" t="s">
        <v>624</v>
      </c>
    </row>
    <row r="184" spans="1:5" ht="12.75">
      <c r="A184">
        <v>9</v>
      </c>
      <c r="B184" t="s">
        <v>409</v>
      </c>
      <c r="C184" t="s">
        <v>357</v>
      </c>
      <c r="E184" t="s">
        <v>622</v>
      </c>
    </row>
    <row r="187" ht="12.75">
      <c r="A187" t="s">
        <v>410</v>
      </c>
    </row>
    <row r="188" spans="1:5" ht="12.75">
      <c r="A188">
        <v>1</v>
      </c>
      <c r="B188" t="s">
        <v>553</v>
      </c>
      <c r="C188" t="s">
        <v>361</v>
      </c>
      <c r="E188" t="s">
        <v>693</v>
      </c>
    </row>
    <row r="189" spans="1:5" ht="12.75">
      <c r="A189">
        <v>2</v>
      </c>
      <c r="B189" t="s">
        <v>411</v>
      </c>
      <c r="C189" t="s">
        <v>357</v>
      </c>
      <c r="E189" t="s">
        <v>608</v>
      </c>
    </row>
    <row r="190" spans="1:5" ht="12.75">
      <c r="A190">
        <v>3</v>
      </c>
      <c r="B190" t="s">
        <v>461</v>
      </c>
      <c r="C190" t="s">
        <v>374</v>
      </c>
      <c r="D190" t="s">
        <v>361</v>
      </c>
      <c r="E190" t="s">
        <v>695</v>
      </c>
    </row>
    <row r="191" spans="1:5" ht="12.75">
      <c r="A191">
        <v>3</v>
      </c>
      <c r="B191" t="s">
        <v>492</v>
      </c>
      <c r="C191" t="s">
        <v>383</v>
      </c>
      <c r="E191" t="s">
        <v>643</v>
      </c>
    </row>
    <row r="192" spans="1:5" ht="12.75">
      <c r="A192">
        <v>4</v>
      </c>
      <c r="B192" t="s">
        <v>412</v>
      </c>
      <c r="C192" t="s">
        <v>383</v>
      </c>
      <c r="E192" t="s">
        <v>682</v>
      </c>
    </row>
    <row r="193" spans="1:5" ht="12.75">
      <c r="A193">
        <v>4</v>
      </c>
      <c r="B193" t="s">
        <v>464</v>
      </c>
      <c r="C193" t="s">
        <v>357</v>
      </c>
      <c r="E193" t="s">
        <v>644</v>
      </c>
    </row>
    <row r="194" spans="1:5" ht="12.75">
      <c r="A194">
        <v>4</v>
      </c>
      <c r="B194" t="s">
        <v>470</v>
      </c>
      <c r="C194" t="s">
        <v>359</v>
      </c>
      <c r="E194" t="s">
        <v>644</v>
      </c>
    </row>
    <row r="195" spans="1:5" ht="12.75">
      <c r="A195">
        <v>4</v>
      </c>
      <c r="B195" t="s">
        <v>471</v>
      </c>
      <c r="C195" t="s">
        <v>359</v>
      </c>
      <c r="E195" t="s">
        <v>693</v>
      </c>
    </row>
    <row r="196" spans="1:5" ht="12.75">
      <c r="A196">
        <v>4</v>
      </c>
      <c r="B196" t="s">
        <v>481</v>
      </c>
      <c r="C196" t="s">
        <v>359</v>
      </c>
      <c r="E196" t="s">
        <v>644</v>
      </c>
    </row>
    <row r="197" spans="1:5" ht="12.75">
      <c r="A197">
        <v>4</v>
      </c>
      <c r="B197" t="s">
        <v>563</v>
      </c>
      <c r="C197" t="s">
        <v>477</v>
      </c>
      <c r="E197" t="s">
        <v>645</v>
      </c>
    </row>
    <row r="198" spans="1:5" ht="12.75">
      <c r="A198">
        <v>5</v>
      </c>
      <c r="B198" t="s">
        <v>580</v>
      </c>
      <c r="C198" t="s">
        <v>361</v>
      </c>
      <c r="E198" t="s">
        <v>674</v>
      </c>
    </row>
    <row r="199" spans="1:5" ht="12.75">
      <c r="A199">
        <v>6</v>
      </c>
      <c r="B199" t="s">
        <v>472</v>
      </c>
      <c r="C199" t="s">
        <v>374</v>
      </c>
      <c r="D199" t="s">
        <v>361</v>
      </c>
      <c r="E199" t="s">
        <v>677</v>
      </c>
    </row>
    <row r="202" ht="12.75">
      <c r="A202" t="s">
        <v>413</v>
      </c>
    </row>
    <row r="203" spans="1:5" ht="12.75">
      <c r="A203">
        <v>1</v>
      </c>
      <c r="B203" t="s">
        <v>557</v>
      </c>
      <c r="C203" t="s">
        <v>357</v>
      </c>
      <c r="E203" t="s">
        <v>682</v>
      </c>
    </row>
    <row r="204" spans="1:5" ht="12.75">
      <c r="A204">
        <v>1</v>
      </c>
      <c r="B204" t="s">
        <v>564</v>
      </c>
      <c r="C204" t="s">
        <v>357</v>
      </c>
      <c r="E204" t="s">
        <v>687</v>
      </c>
    </row>
    <row r="205" spans="1:5" ht="12.75">
      <c r="A205">
        <v>2</v>
      </c>
      <c r="B205" t="s">
        <v>551</v>
      </c>
      <c r="C205" t="s">
        <v>383</v>
      </c>
      <c r="E205" t="s">
        <v>688</v>
      </c>
    </row>
    <row r="206" spans="1:5" ht="12.75">
      <c r="A206">
        <v>3</v>
      </c>
      <c r="B206" t="s">
        <v>414</v>
      </c>
      <c r="C206" t="s">
        <v>357</v>
      </c>
      <c r="E206" t="s">
        <v>629</v>
      </c>
    </row>
    <row r="207" spans="1:5" ht="12.75">
      <c r="A207">
        <v>3</v>
      </c>
      <c r="B207" t="s">
        <v>415</v>
      </c>
      <c r="C207" t="s">
        <v>357</v>
      </c>
      <c r="E207" t="s">
        <v>690</v>
      </c>
    </row>
    <row r="208" spans="1:5" ht="12.75">
      <c r="A208">
        <v>3</v>
      </c>
      <c r="B208" t="s">
        <v>416</v>
      </c>
      <c r="C208" t="s">
        <v>357</v>
      </c>
      <c r="E208" t="s">
        <v>630</v>
      </c>
    </row>
    <row r="209" spans="1:5" ht="12.75">
      <c r="A209">
        <v>3</v>
      </c>
      <c r="B209" t="s">
        <v>476</v>
      </c>
      <c r="C209" t="s">
        <v>391</v>
      </c>
      <c r="E209" t="s">
        <v>641</v>
      </c>
    </row>
    <row r="210" spans="1:5" ht="12.75">
      <c r="A210">
        <v>4</v>
      </c>
      <c r="B210" t="s">
        <v>559</v>
      </c>
      <c r="C210" t="s">
        <v>357</v>
      </c>
      <c r="E210" t="s">
        <v>668</v>
      </c>
    </row>
    <row r="211" spans="1:5" ht="12.75">
      <c r="A211">
        <v>4</v>
      </c>
      <c r="B211" t="s">
        <v>563</v>
      </c>
      <c r="C211" t="s">
        <v>420</v>
      </c>
      <c r="E211" t="s">
        <v>645</v>
      </c>
    </row>
    <row r="212" spans="1:5" ht="12.75">
      <c r="A212">
        <v>5</v>
      </c>
      <c r="B212" t="s">
        <v>486</v>
      </c>
      <c r="C212" t="s">
        <v>357</v>
      </c>
      <c r="E212" t="s">
        <v>589</v>
      </c>
    </row>
    <row r="213" spans="1:5" ht="12.75">
      <c r="A213">
        <v>5</v>
      </c>
      <c r="B213" t="s">
        <v>558</v>
      </c>
      <c r="C213" t="s">
        <v>357</v>
      </c>
      <c r="E213" t="s">
        <v>631</v>
      </c>
    </row>
    <row r="214" spans="1:5" ht="12.75">
      <c r="A214">
        <v>5</v>
      </c>
      <c r="B214" t="s">
        <v>562</v>
      </c>
      <c r="C214" t="s">
        <v>367</v>
      </c>
      <c r="E214" t="s">
        <v>625</v>
      </c>
    </row>
    <row r="215" spans="1:5" ht="12.75">
      <c r="A215">
        <v>6</v>
      </c>
      <c r="B215" t="s">
        <v>417</v>
      </c>
      <c r="C215" t="s">
        <v>357</v>
      </c>
      <c r="E215" t="s">
        <v>631</v>
      </c>
    </row>
    <row r="216" spans="1:5" ht="12.75">
      <c r="A216">
        <v>7</v>
      </c>
      <c r="B216" t="s">
        <v>560</v>
      </c>
      <c r="C216" t="s">
        <v>357</v>
      </c>
      <c r="E216" t="s">
        <v>631</v>
      </c>
    </row>
    <row r="217" spans="1:5" ht="12.75">
      <c r="A217">
        <v>7</v>
      </c>
      <c r="B217" t="s">
        <v>565</v>
      </c>
      <c r="C217" t="s">
        <v>371</v>
      </c>
      <c r="E217" t="s">
        <v>623</v>
      </c>
    </row>
    <row r="218" spans="1:5" ht="12.75">
      <c r="A218">
        <v>8</v>
      </c>
      <c r="B218" t="s">
        <v>561</v>
      </c>
      <c r="C218" t="s">
        <v>357</v>
      </c>
      <c r="E218" t="s">
        <v>589</v>
      </c>
    </row>
    <row r="221" ht="12.75">
      <c r="A221" t="s">
        <v>418</v>
      </c>
    </row>
    <row r="222" spans="1:5" ht="12.75">
      <c r="A222">
        <v>1</v>
      </c>
      <c r="B222" t="s">
        <v>419</v>
      </c>
      <c r="C222" t="s">
        <v>357</v>
      </c>
      <c r="E222" t="s">
        <v>680</v>
      </c>
    </row>
    <row r="223" spans="1:5" ht="12.75">
      <c r="A223">
        <v>1</v>
      </c>
      <c r="B223" t="s">
        <v>483</v>
      </c>
      <c r="C223" t="s">
        <v>373</v>
      </c>
      <c r="E223" t="s">
        <v>660</v>
      </c>
    </row>
    <row r="224" spans="1:5" ht="12.75">
      <c r="A224">
        <v>2</v>
      </c>
      <c r="B224" s="2" t="s">
        <v>432</v>
      </c>
      <c r="C224" t="s">
        <v>364</v>
      </c>
      <c r="E224" t="s">
        <v>617</v>
      </c>
    </row>
    <row r="225" spans="1:5" ht="12.75">
      <c r="A225">
        <v>2</v>
      </c>
      <c r="B225" t="s">
        <v>551</v>
      </c>
      <c r="C225" t="s">
        <v>477</v>
      </c>
      <c r="E225" t="s">
        <v>688</v>
      </c>
    </row>
    <row r="226" spans="1:5" ht="12.75">
      <c r="A226">
        <v>3</v>
      </c>
      <c r="B226" t="s">
        <v>469</v>
      </c>
      <c r="C226" t="s">
        <v>373</v>
      </c>
      <c r="E226" t="s">
        <v>659</v>
      </c>
    </row>
    <row r="227" spans="1:5" ht="12.75">
      <c r="A227">
        <v>3</v>
      </c>
      <c r="B227" t="s">
        <v>492</v>
      </c>
      <c r="C227" t="s">
        <v>420</v>
      </c>
      <c r="E227" t="s">
        <v>643</v>
      </c>
    </row>
    <row r="228" spans="1:5" ht="12.75">
      <c r="A228">
        <v>4</v>
      </c>
      <c r="B228" t="s">
        <v>412</v>
      </c>
      <c r="C228" t="s">
        <v>420</v>
      </c>
      <c r="E228" t="s">
        <v>682</v>
      </c>
    </row>
    <row r="229" spans="1:5" ht="12.75">
      <c r="A229">
        <v>4</v>
      </c>
      <c r="B229" t="s">
        <v>421</v>
      </c>
      <c r="C229" t="s">
        <v>357</v>
      </c>
      <c r="E229" t="s">
        <v>611</v>
      </c>
    </row>
    <row r="230" spans="1:5" ht="12.75">
      <c r="A230">
        <v>4</v>
      </c>
      <c r="B230" t="s">
        <v>399</v>
      </c>
      <c r="C230" t="s">
        <v>367</v>
      </c>
      <c r="E230" t="s">
        <v>367</v>
      </c>
    </row>
    <row r="231" spans="1:5" ht="12.75">
      <c r="A231">
        <v>4</v>
      </c>
      <c r="B231" t="s">
        <v>382</v>
      </c>
      <c r="C231" t="s">
        <v>373</v>
      </c>
      <c r="E231" t="s">
        <v>663</v>
      </c>
    </row>
    <row r="232" spans="1:5" ht="12.75">
      <c r="A232">
        <v>5</v>
      </c>
      <c r="B232" t="s">
        <v>407</v>
      </c>
      <c r="C232" t="s">
        <v>371</v>
      </c>
      <c r="E232" t="s">
        <v>656</v>
      </c>
    </row>
    <row r="233" spans="1:5" ht="12.75">
      <c r="A233">
        <v>5</v>
      </c>
      <c r="B233" t="s">
        <v>612</v>
      </c>
      <c r="C233" t="s">
        <v>367</v>
      </c>
      <c r="E233" t="s">
        <v>611</v>
      </c>
    </row>
    <row r="234" spans="1:5" ht="12.75">
      <c r="A234">
        <v>5</v>
      </c>
      <c r="B234" t="s">
        <v>451</v>
      </c>
      <c r="C234" t="s">
        <v>373</v>
      </c>
      <c r="E234" t="s">
        <v>662</v>
      </c>
    </row>
    <row r="235" spans="1:5" ht="12.75">
      <c r="A235">
        <v>5</v>
      </c>
      <c r="B235" t="s">
        <v>473</v>
      </c>
      <c r="C235" t="s">
        <v>357</v>
      </c>
      <c r="E235" t="s">
        <v>657</v>
      </c>
    </row>
    <row r="236" spans="1:5" ht="12.75">
      <c r="A236">
        <v>5</v>
      </c>
      <c r="B236" t="s">
        <v>550</v>
      </c>
      <c r="C236" t="s">
        <v>373</v>
      </c>
      <c r="E236" t="s">
        <v>664</v>
      </c>
    </row>
    <row r="237" spans="1:5" ht="12.75">
      <c r="A237">
        <v>7</v>
      </c>
      <c r="B237" t="s">
        <v>422</v>
      </c>
      <c r="C237" t="s">
        <v>357</v>
      </c>
      <c r="E237" t="s">
        <v>657</v>
      </c>
    </row>
    <row r="238" spans="1:5" ht="12.75">
      <c r="A238">
        <v>7</v>
      </c>
      <c r="B238" t="s">
        <v>447</v>
      </c>
      <c r="C238" t="s">
        <v>364</v>
      </c>
      <c r="E238" t="s">
        <v>364</v>
      </c>
    </row>
    <row r="239" spans="1:5" ht="12.75">
      <c r="A239">
        <v>7</v>
      </c>
      <c r="B239" t="s">
        <v>574</v>
      </c>
      <c r="C239" t="s">
        <v>373</v>
      </c>
      <c r="E239" t="s">
        <v>373</v>
      </c>
    </row>
    <row r="240" spans="1:5" ht="12.75">
      <c r="A240">
        <v>8</v>
      </c>
      <c r="B240" t="s">
        <v>397</v>
      </c>
      <c r="C240" t="s">
        <v>364</v>
      </c>
      <c r="E240" t="s">
        <v>692</v>
      </c>
    </row>
    <row r="241" spans="1:5" ht="12.75">
      <c r="A241">
        <v>8</v>
      </c>
      <c r="B241" t="s">
        <v>463</v>
      </c>
      <c r="C241" t="s">
        <v>371</v>
      </c>
      <c r="E241" t="s">
        <v>624</v>
      </c>
    </row>
    <row r="242" spans="1:5" ht="12.75">
      <c r="A242">
        <v>9</v>
      </c>
      <c r="B242" t="s">
        <v>487</v>
      </c>
      <c r="C242" t="s">
        <v>373</v>
      </c>
      <c r="E242" t="s">
        <v>666</v>
      </c>
    </row>
    <row r="245" ht="12.75">
      <c r="A245" t="s">
        <v>423</v>
      </c>
    </row>
    <row r="246" spans="1:5" ht="12.75">
      <c r="A246">
        <v>1</v>
      </c>
      <c r="B246" t="s">
        <v>424</v>
      </c>
      <c r="C246" t="s">
        <v>357</v>
      </c>
      <c r="E246" t="s">
        <v>683</v>
      </c>
    </row>
    <row r="247" spans="1:5" ht="12.75">
      <c r="A247">
        <v>1</v>
      </c>
      <c r="B247" t="s">
        <v>577</v>
      </c>
      <c r="C247" t="s">
        <v>357</v>
      </c>
      <c r="E247" t="s">
        <v>592</v>
      </c>
    </row>
    <row r="248" spans="1:5" ht="12.75">
      <c r="A248">
        <v>2</v>
      </c>
      <c r="B248" t="s">
        <v>425</v>
      </c>
      <c r="C248" t="s">
        <v>357</v>
      </c>
      <c r="E248" t="s">
        <v>685</v>
      </c>
    </row>
    <row r="249" spans="1:5" ht="12.75">
      <c r="A249">
        <v>3</v>
      </c>
      <c r="B249" t="s">
        <v>476</v>
      </c>
      <c r="C249" t="s">
        <v>477</v>
      </c>
      <c r="E249" t="s">
        <v>641</v>
      </c>
    </row>
    <row r="250" spans="1:5" ht="12.75">
      <c r="A250">
        <v>4</v>
      </c>
      <c r="B250" t="s">
        <v>390</v>
      </c>
      <c r="C250" t="s">
        <v>359</v>
      </c>
      <c r="E250" t="s">
        <v>652</v>
      </c>
    </row>
    <row r="251" spans="1:5" ht="12.75">
      <c r="A251">
        <v>4</v>
      </c>
      <c r="B251" t="s">
        <v>426</v>
      </c>
      <c r="C251" t="s">
        <v>357</v>
      </c>
      <c r="E251" t="s">
        <v>642</v>
      </c>
    </row>
    <row r="252" spans="1:5" ht="12.75">
      <c r="A252">
        <v>5</v>
      </c>
      <c r="B252" t="s">
        <v>427</v>
      </c>
      <c r="C252" t="s">
        <v>357</v>
      </c>
      <c r="E252" t="s">
        <v>642</v>
      </c>
    </row>
    <row r="253" spans="1:5" ht="12.75">
      <c r="A253">
        <v>5</v>
      </c>
      <c r="B253" t="s">
        <v>570</v>
      </c>
      <c r="C253" t="s">
        <v>357</v>
      </c>
      <c r="E253" t="s">
        <v>642</v>
      </c>
    </row>
    <row r="254" spans="1:5" ht="12.75">
      <c r="A254">
        <v>5</v>
      </c>
      <c r="B254" t="s">
        <v>571</v>
      </c>
      <c r="C254" t="s">
        <v>357</v>
      </c>
      <c r="E254" t="s">
        <v>670</v>
      </c>
    </row>
    <row r="255" spans="1:5" ht="12.75">
      <c r="A255">
        <v>7</v>
      </c>
      <c r="B255" t="s">
        <v>428</v>
      </c>
      <c r="C255" t="s">
        <v>357</v>
      </c>
      <c r="E255" t="s">
        <v>642</v>
      </c>
    </row>
    <row r="256" spans="1:5" ht="12.75">
      <c r="A256">
        <v>8</v>
      </c>
      <c r="B256" t="s">
        <v>474</v>
      </c>
      <c r="C256" t="s">
        <v>357</v>
      </c>
      <c r="E256" t="s">
        <v>642</v>
      </c>
    </row>
  </sheetData>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337"/>
  <sheetViews>
    <sheetView workbookViewId="0" topLeftCell="A1">
      <selection activeCell="A1" sqref="A1"/>
    </sheetView>
  </sheetViews>
  <sheetFormatPr defaultColWidth="9.140625" defaultRowHeight="12.75"/>
  <cols>
    <col min="1" max="1" width="12.8515625" style="0" customWidth="1"/>
    <col min="2" max="2" width="10.00390625" style="0" customWidth="1"/>
  </cols>
  <sheetData>
    <row r="1" ht="12.75">
      <c r="A1" t="s">
        <v>1103</v>
      </c>
    </row>
    <row r="2" ht="12.75">
      <c r="A2" t="s">
        <v>34</v>
      </c>
    </row>
    <row r="3" ht="12.75">
      <c r="A3" t="s">
        <v>35</v>
      </c>
    </row>
    <row r="5" ht="12.75">
      <c r="A5" t="s">
        <v>1126</v>
      </c>
    </row>
    <row r="7" ht="12.75">
      <c r="A7" t="s">
        <v>1104</v>
      </c>
    </row>
    <row r="8" spans="1:2" ht="12.75">
      <c r="A8" t="s">
        <v>1106</v>
      </c>
      <c r="B8" t="s">
        <v>1107</v>
      </c>
    </row>
    <row r="9" spans="1:2" ht="12.75">
      <c r="A9" t="s">
        <v>1106</v>
      </c>
      <c r="B9" t="s">
        <v>1108</v>
      </c>
    </row>
    <row r="10" spans="1:2" ht="12.75">
      <c r="A10" t="s">
        <v>1105</v>
      </c>
      <c r="B10" t="s">
        <v>1109</v>
      </c>
    </row>
    <row r="11" spans="2:3" ht="12.75">
      <c r="B11" t="s">
        <v>1110</v>
      </c>
      <c r="C11" t="s">
        <v>1122</v>
      </c>
    </row>
    <row r="12" spans="2:3" ht="12.75">
      <c r="B12" t="s">
        <v>1110</v>
      </c>
      <c r="C12" t="s">
        <v>1125</v>
      </c>
    </row>
    <row r="13" spans="2:3" ht="12.75">
      <c r="B13" t="s">
        <v>1105</v>
      </c>
      <c r="C13" t="s">
        <v>1123</v>
      </c>
    </row>
    <row r="14" spans="2:3" ht="12.75">
      <c r="B14" t="s">
        <v>1110</v>
      </c>
      <c r="C14" t="s">
        <v>1124</v>
      </c>
    </row>
    <row r="15" ht="12.75">
      <c r="B15" t="s">
        <v>1121</v>
      </c>
    </row>
    <row r="16" spans="1:2" ht="12.75">
      <c r="A16" t="s">
        <v>1105</v>
      </c>
      <c r="B16" t="s">
        <v>1111</v>
      </c>
    </row>
    <row r="17" spans="1:2" ht="12.75">
      <c r="A17" t="s">
        <v>1105</v>
      </c>
      <c r="B17" t="s">
        <v>1120</v>
      </c>
    </row>
    <row r="18" spans="1:2" ht="12.75">
      <c r="A18" t="s">
        <v>1105</v>
      </c>
      <c r="B18" s="14" t="s">
        <v>1112</v>
      </c>
    </row>
    <row r="19" spans="2:3" ht="12.75">
      <c r="B19">
        <v>1</v>
      </c>
      <c r="C19">
        <v>3</v>
      </c>
    </row>
    <row r="20" spans="2:3" ht="12.75">
      <c r="B20">
        <v>2</v>
      </c>
      <c r="C20">
        <v>15</v>
      </c>
    </row>
    <row r="21" spans="2:3" ht="12.75">
      <c r="B21">
        <v>3</v>
      </c>
      <c r="C21">
        <v>35</v>
      </c>
    </row>
    <row r="22" spans="2:3" ht="12.75">
      <c r="B22">
        <v>4</v>
      </c>
      <c r="C22">
        <v>70</v>
      </c>
    </row>
    <row r="23" spans="2:3" ht="12.75">
      <c r="B23">
        <v>5</v>
      </c>
      <c r="C23">
        <v>100</v>
      </c>
    </row>
    <row r="24" spans="2:3" ht="12.75">
      <c r="B24">
        <v>6</v>
      </c>
      <c r="C24">
        <v>150</v>
      </c>
    </row>
    <row r="25" spans="2:3" ht="12.75">
      <c r="B25">
        <v>7</v>
      </c>
      <c r="C25">
        <v>200</v>
      </c>
    </row>
    <row r="26" spans="2:3" ht="12.75">
      <c r="B26">
        <v>8</v>
      </c>
      <c r="C26">
        <v>260</v>
      </c>
    </row>
    <row r="27" spans="2:3" ht="12.75">
      <c r="B27">
        <v>9</v>
      </c>
      <c r="C27">
        <v>330</v>
      </c>
    </row>
    <row r="29" spans="1:2" ht="12.75">
      <c r="A29" t="s">
        <v>1118</v>
      </c>
      <c r="B29" t="s">
        <v>1119</v>
      </c>
    </row>
    <row r="30" spans="1:2" ht="12.75">
      <c r="A30" t="s">
        <v>1113</v>
      </c>
      <c r="B30" t="s">
        <v>98</v>
      </c>
    </row>
    <row r="32" spans="1:2" ht="12.75">
      <c r="A32" t="s">
        <v>1114</v>
      </c>
      <c r="B32" t="s">
        <v>1115</v>
      </c>
    </row>
    <row r="34" spans="1:2" ht="12.75">
      <c r="A34" t="s">
        <v>1105</v>
      </c>
      <c r="B34" t="s">
        <v>1116</v>
      </c>
    </row>
    <row r="35" spans="1:2" ht="12.75">
      <c r="A35" t="s">
        <v>1105</v>
      </c>
      <c r="B35" t="s">
        <v>1117</v>
      </c>
    </row>
    <row r="37" ht="12.75">
      <c r="A37" t="s">
        <v>154</v>
      </c>
    </row>
    <row r="40" spans="1:3" ht="12.75">
      <c r="A40" s="1" t="s">
        <v>206</v>
      </c>
      <c r="B40" s="38" t="s">
        <v>207</v>
      </c>
      <c r="C40" s="38" t="s">
        <v>208</v>
      </c>
    </row>
    <row r="41" spans="1:3" ht="12.75">
      <c r="A41" s="39">
        <v>0</v>
      </c>
      <c r="B41" s="39" t="s">
        <v>209</v>
      </c>
      <c r="C41" s="39" t="s">
        <v>210</v>
      </c>
    </row>
    <row r="42" spans="1:3" ht="12.75">
      <c r="A42" s="39">
        <v>1</v>
      </c>
      <c r="B42" s="39" t="s">
        <v>211</v>
      </c>
      <c r="C42" s="40" t="s">
        <v>212</v>
      </c>
    </row>
    <row r="43" spans="1:3" ht="12.75">
      <c r="A43" s="39">
        <v>11</v>
      </c>
      <c r="B43" s="39" t="s">
        <v>213</v>
      </c>
      <c r="C43" s="41" t="s">
        <v>214</v>
      </c>
    </row>
    <row r="44" spans="1:3" ht="12.75">
      <c r="A44" s="39">
        <v>21</v>
      </c>
      <c r="B44" s="39" t="s">
        <v>215</v>
      </c>
      <c r="C44" s="39" t="s">
        <v>216</v>
      </c>
    </row>
    <row r="45" spans="1:3" ht="12.75">
      <c r="A45" s="39">
        <v>31</v>
      </c>
      <c r="B45" s="39" t="s">
        <v>217</v>
      </c>
      <c r="C45" s="39" t="s">
        <v>218</v>
      </c>
    </row>
    <row r="46" spans="1:3" ht="12.75">
      <c r="A46" s="39">
        <v>41</v>
      </c>
      <c r="B46" s="39" t="s">
        <v>219</v>
      </c>
      <c r="C46" s="39" t="s">
        <v>220</v>
      </c>
    </row>
    <row r="47" spans="1:3" ht="12.75">
      <c r="A47" s="39">
        <v>51</v>
      </c>
      <c r="B47" s="39" t="s">
        <v>221</v>
      </c>
      <c r="C47" s="39" t="s">
        <v>222</v>
      </c>
    </row>
    <row r="48" spans="1:3" ht="12.75">
      <c r="A48" s="39">
        <v>61</v>
      </c>
      <c r="B48" s="39" t="s">
        <v>223</v>
      </c>
      <c r="C48" s="39" t="s">
        <v>224</v>
      </c>
    </row>
    <row r="49" spans="1:3" ht="12.75">
      <c r="A49" s="39">
        <v>71</v>
      </c>
      <c r="B49" s="39" t="s">
        <v>225</v>
      </c>
      <c r="C49" s="39" t="s">
        <v>226</v>
      </c>
    </row>
    <row r="50" spans="1:3" ht="12.75">
      <c r="A50" s="39">
        <v>81</v>
      </c>
      <c r="B50" s="39" t="s">
        <v>227</v>
      </c>
      <c r="C50" s="39" t="s">
        <v>228</v>
      </c>
    </row>
    <row r="51" spans="1:3" ht="12.75">
      <c r="A51" s="39">
        <v>91</v>
      </c>
      <c r="B51" s="39" t="s">
        <v>229</v>
      </c>
      <c r="C51" s="39" t="s">
        <v>230</v>
      </c>
    </row>
    <row r="52" spans="1:3" ht="12.75">
      <c r="A52" s="39">
        <v>100</v>
      </c>
      <c r="B52" s="39" t="s">
        <v>231</v>
      </c>
      <c r="C52" s="39" t="s">
        <v>232</v>
      </c>
    </row>
    <row r="53" spans="1:3" ht="12.75">
      <c r="A53" s="39"/>
      <c r="B53" s="39"/>
      <c r="C53" s="39"/>
    </row>
    <row r="55" spans="1:7" s="1" customFormat="1" ht="12.75">
      <c r="A55" s="1" t="s">
        <v>36</v>
      </c>
      <c r="F55" s="1" t="s">
        <v>96</v>
      </c>
      <c r="G55" s="1" t="s">
        <v>155</v>
      </c>
    </row>
    <row r="56" spans="1:7" ht="12.75">
      <c r="A56" t="s">
        <v>1128</v>
      </c>
      <c r="F56">
        <v>100</v>
      </c>
      <c r="G56">
        <v>100</v>
      </c>
    </row>
    <row r="57" spans="1:7" ht="12.75">
      <c r="A57" t="s">
        <v>1129</v>
      </c>
      <c r="F57">
        <v>99</v>
      </c>
      <c r="G57">
        <v>99</v>
      </c>
    </row>
    <row r="58" spans="1:7" ht="12.75">
      <c r="A58" t="s">
        <v>1130</v>
      </c>
      <c r="F58">
        <v>98</v>
      </c>
      <c r="G58">
        <v>98</v>
      </c>
    </row>
    <row r="59" spans="1:7" ht="12.75">
      <c r="A59" t="s">
        <v>1131</v>
      </c>
      <c r="F59">
        <v>97</v>
      </c>
      <c r="G59">
        <v>97</v>
      </c>
    </row>
    <row r="60" spans="1:7" ht="12.75">
      <c r="A60" t="s">
        <v>1132</v>
      </c>
      <c r="F60">
        <v>96</v>
      </c>
      <c r="G60">
        <v>96</v>
      </c>
    </row>
    <row r="61" spans="1:7" ht="12.75">
      <c r="A61" t="s">
        <v>1133</v>
      </c>
      <c r="F61">
        <v>95</v>
      </c>
      <c r="G61">
        <v>95</v>
      </c>
    </row>
    <row r="62" spans="1:7" ht="12.75">
      <c r="A62" t="s">
        <v>1134</v>
      </c>
      <c r="F62">
        <v>94</v>
      </c>
      <c r="G62">
        <v>94</v>
      </c>
    </row>
    <row r="63" spans="1:7" ht="12.75">
      <c r="A63" t="s">
        <v>1135</v>
      </c>
      <c r="F63">
        <v>93</v>
      </c>
      <c r="G63">
        <v>93</v>
      </c>
    </row>
    <row r="64" spans="1:7" ht="12.75">
      <c r="A64" t="s">
        <v>1136</v>
      </c>
      <c r="F64">
        <v>92</v>
      </c>
      <c r="G64">
        <v>92</v>
      </c>
    </row>
    <row r="65" spans="1:7" ht="12.75">
      <c r="A65" t="s">
        <v>1137</v>
      </c>
      <c r="F65">
        <v>91</v>
      </c>
      <c r="G65">
        <v>91</v>
      </c>
    </row>
    <row r="66" spans="1:7" ht="12.75">
      <c r="A66" t="s">
        <v>1138</v>
      </c>
      <c r="F66">
        <v>90</v>
      </c>
      <c r="G66">
        <v>90</v>
      </c>
    </row>
    <row r="67" spans="1:7" ht="12.75">
      <c r="A67" t="s">
        <v>1139</v>
      </c>
      <c r="F67">
        <v>89</v>
      </c>
      <c r="G67">
        <v>89</v>
      </c>
    </row>
    <row r="68" spans="1:7" ht="12.75">
      <c r="A68" t="s">
        <v>1140</v>
      </c>
      <c r="F68">
        <v>88</v>
      </c>
      <c r="G68">
        <v>88</v>
      </c>
    </row>
    <row r="69" spans="1:7" ht="12.75">
      <c r="A69" t="s">
        <v>1141</v>
      </c>
      <c r="F69">
        <v>87</v>
      </c>
      <c r="G69">
        <v>87</v>
      </c>
    </row>
    <row r="70" spans="1:7" ht="12.75">
      <c r="A70" t="s">
        <v>1142</v>
      </c>
      <c r="F70">
        <v>86</v>
      </c>
      <c r="G70">
        <v>86</v>
      </c>
    </row>
    <row r="71" spans="1:7" ht="12.75">
      <c r="A71" t="s">
        <v>1143</v>
      </c>
      <c r="F71">
        <v>85</v>
      </c>
      <c r="G71">
        <v>85</v>
      </c>
    </row>
    <row r="72" spans="1:7" ht="12.75">
      <c r="A72" t="s">
        <v>1144</v>
      </c>
      <c r="F72">
        <v>84</v>
      </c>
      <c r="G72">
        <v>84</v>
      </c>
    </row>
    <row r="73" spans="1:7" ht="12.75">
      <c r="A73" t="s">
        <v>1149</v>
      </c>
      <c r="F73">
        <v>83</v>
      </c>
      <c r="G73">
        <v>83</v>
      </c>
    </row>
    <row r="74" spans="1:7" ht="12.75">
      <c r="A74" t="s">
        <v>1150</v>
      </c>
      <c r="F74">
        <v>82</v>
      </c>
      <c r="G74">
        <v>82</v>
      </c>
    </row>
    <row r="75" spans="1:7" ht="12.75">
      <c r="A75" t="s">
        <v>1151</v>
      </c>
      <c r="F75">
        <v>81</v>
      </c>
      <c r="G75">
        <v>81</v>
      </c>
    </row>
    <row r="76" spans="1:7" ht="12.75">
      <c r="A76" t="s">
        <v>1152</v>
      </c>
      <c r="F76">
        <v>80</v>
      </c>
      <c r="G76">
        <v>80</v>
      </c>
    </row>
    <row r="77" spans="1:7" ht="12.75">
      <c r="A77" t="s">
        <v>1153</v>
      </c>
      <c r="F77">
        <v>79</v>
      </c>
      <c r="G77">
        <v>79</v>
      </c>
    </row>
    <row r="78" spans="1:7" ht="12.75">
      <c r="A78" t="s">
        <v>1154</v>
      </c>
      <c r="F78">
        <v>78</v>
      </c>
      <c r="G78">
        <v>78</v>
      </c>
    </row>
    <row r="79" spans="1:7" ht="12.75">
      <c r="A79" t="s">
        <v>0</v>
      </c>
      <c r="F79">
        <v>77</v>
      </c>
      <c r="G79">
        <v>77</v>
      </c>
    </row>
    <row r="80" spans="1:7" ht="12.75">
      <c r="A80" t="s">
        <v>1</v>
      </c>
      <c r="F80">
        <v>76</v>
      </c>
      <c r="G80">
        <v>76</v>
      </c>
    </row>
    <row r="81" spans="1:7" ht="12.75">
      <c r="A81" t="s">
        <v>2</v>
      </c>
      <c r="F81">
        <v>75</v>
      </c>
      <c r="G81">
        <v>75</v>
      </c>
    </row>
    <row r="82" spans="1:7" ht="12.75">
      <c r="A82" t="s">
        <v>3</v>
      </c>
      <c r="F82">
        <v>74</v>
      </c>
      <c r="G82">
        <v>74</v>
      </c>
    </row>
    <row r="83" spans="1:7" ht="12.75">
      <c r="A83" t="s">
        <v>4</v>
      </c>
      <c r="F83">
        <v>73</v>
      </c>
      <c r="G83">
        <v>73</v>
      </c>
    </row>
    <row r="84" spans="1:7" ht="12.75">
      <c r="A84" t="s">
        <v>5</v>
      </c>
      <c r="F84">
        <v>72</v>
      </c>
      <c r="G84">
        <v>72</v>
      </c>
    </row>
    <row r="85" spans="1:7" ht="12.75">
      <c r="A85" t="s">
        <v>6</v>
      </c>
      <c r="F85">
        <v>71</v>
      </c>
      <c r="G85">
        <v>71</v>
      </c>
    </row>
    <row r="86" spans="1:7" ht="12.75">
      <c r="A86" t="s">
        <v>7</v>
      </c>
      <c r="F86">
        <v>70</v>
      </c>
      <c r="G86">
        <v>70</v>
      </c>
    </row>
    <row r="87" spans="1:7" ht="12.75">
      <c r="A87" t="s">
        <v>8</v>
      </c>
      <c r="F87">
        <v>69</v>
      </c>
      <c r="G87">
        <v>69</v>
      </c>
    </row>
    <row r="88" spans="1:7" ht="12.75">
      <c r="A88" t="s">
        <v>9</v>
      </c>
      <c r="F88">
        <v>68</v>
      </c>
      <c r="G88">
        <v>68</v>
      </c>
    </row>
    <row r="89" spans="1:7" ht="12.75">
      <c r="A89" t="s">
        <v>10</v>
      </c>
      <c r="F89">
        <v>67</v>
      </c>
      <c r="G89">
        <v>67</v>
      </c>
    </row>
    <row r="90" spans="1:7" ht="12.75">
      <c r="A90" t="s">
        <v>11</v>
      </c>
      <c r="F90">
        <v>66</v>
      </c>
      <c r="G90">
        <v>66</v>
      </c>
    </row>
    <row r="91" spans="1:10" ht="12.75">
      <c r="A91" t="s">
        <v>12</v>
      </c>
      <c r="F91">
        <v>65</v>
      </c>
      <c r="G91">
        <v>65</v>
      </c>
      <c r="J91" s="37"/>
    </row>
    <row r="92" spans="1:7" ht="12.75">
      <c r="A92" t="s">
        <v>13</v>
      </c>
      <c r="F92">
        <v>64</v>
      </c>
      <c r="G92">
        <v>64</v>
      </c>
    </row>
    <row r="93" spans="1:7" ht="12.75">
      <c r="A93" t="s">
        <v>14</v>
      </c>
      <c r="F93">
        <v>63</v>
      </c>
      <c r="G93">
        <v>63</v>
      </c>
    </row>
    <row r="94" spans="1:7" ht="12.75">
      <c r="A94" t="s">
        <v>15</v>
      </c>
      <c r="F94">
        <v>62</v>
      </c>
      <c r="G94">
        <v>62</v>
      </c>
    </row>
    <row r="95" spans="1:7" ht="12.75">
      <c r="A95" t="s">
        <v>16</v>
      </c>
      <c r="F95">
        <v>61</v>
      </c>
      <c r="G95">
        <v>61</v>
      </c>
    </row>
    <row r="96" spans="1:7" ht="12.75">
      <c r="A96" t="s">
        <v>17</v>
      </c>
      <c r="F96">
        <v>60</v>
      </c>
      <c r="G96">
        <v>60</v>
      </c>
    </row>
    <row r="97" spans="1:7" ht="12.75">
      <c r="A97" t="s">
        <v>18</v>
      </c>
      <c r="F97">
        <v>59</v>
      </c>
      <c r="G97">
        <v>59</v>
      </c>
    </row>
    <row r="98" spans="1:7" ht="12.75">
      <c r="A98" t="s">
        <v>19</v>
      </c>
      <c r="F98">
        <v>58</v>
      </c>
      <c r="G98">
        <v>58</v>
      </c>
    </row>
    <row r="99" spans="1:7" ht="12.75">
      <c r="A99" t="s">
        <v>20</v>
      </c>
      <c r="F99">
        <v>57</v>
      </c>
      <c r="G99">
        <v>57</v>
      </c>
    </row>
    <row r="100" spans="1:7" ht="12.75">
      <c r="A100" t="s">
        <v>21</v>
      </c>
      <c r="F100">
        <v>56</v>
      </c>
      <c r="G100">
        <v>56</v>
      </c>
    </row>
    <row r="101" spans="1:7" ht="12.75">
      <c r="A101" t="s">
        <v>22</v>
      </c>
      <c r="F101">
        <v>55</v>
      </c>
      <c r="G101">
        <v>55</v>
      </c>
    </row>
    <row r="102" spans="1:7" ht="12.75">
      <c r="A102" t="s">
        <v>23</v>
      </c>
      <c r="F102">
        <v>54</v>
      </c>
      <c r="G102">
        <v>54</v>
      </c>
    </row>
    <row r="103" spans="1:7" ht="12.75">
      <c r="A103" t="s">
        <v>24</v>
      </c>
      <c r="F103">
        <v>53</v>
      </c>
      <c r="G103">
        <v>53</v>
      </c>
    </row>
    <row r="104" spans="6:7" ht="12.75">
      <c r="F104">
        <v>52</v>
      </c>
      <c r="G104">
        <v>52</v>
      </c>
    </row>
    <row r="105" spans="6:7" ht="12.75">
      <c r="F105">
        <v>51</v>
      </c>
      <c r="G105">
        <v>51</v>
      </c>
    </row>
    <row r="106" spans="6:7" ht="12.75">
      <c r="F106">
        <v>50</v>
      </c>
      <c r="G106">
        <v>50</v>
      </c>
    </row>
    <row r="107" spans="6:7" ht="12.75">
      <c r="F107">
        <v>49</v>
      </c>
      <c r="G107">
        <v>49</v>
      </c>
    </row>
    <row r="108" spans="6:7" ht="12.75">
      <c r="F108">
        <v>48</v>
      </c>
      <c r="G108">
        <v>48</v>
      </c>
    </row>
    <row r="109" spans="6:7" ht="12.75">
      <c r="F109">
        <v>47</v>
      </c>
      <c r="G109">
        <v>47</v>
      </c>
    </row>
    <row r="110" spans="6:7" ht="12.75">
      <c r="F110">
        <v>46</v>
      </c>
      <c r="G110">
        <v>46</v>
      </c>
    </row>
    <row r="111" spans="6:7" ht="12.75">
      <c r="F111">
        <v>45</v>
      </c>
      <c r="G111">
        <v>45</v>
      </c>
    </row>
    <row r="112" spans="6:7" ht="12.75">
      <c r="F112">
        <v>44</v>
      </c>
      <c r="G112">
        <v>45</v>
      </c>
    </row>
    <row r="113" spans="6:7" ht="12.75">
      <c r="F113">
        <v>43</v>
      </c>
      <c r="G113">
        <v>45</v>
      </c>
    </row>
    <row r="114" spans="6:7" ht="12.75">
      <c r="F114">
        <v>42</v>
      </c>
      <c r="G114">
        <v>45</v>
      </c>
    </row>
    <row r="115" spans="6:7" ht="12.75">
      <c r="F115">
        <v>41</v>
      </c>
      <c r="G115">
        <v>43</v>
      </c>
    </row>
    <row r="116" spans="6:7" ht="12.75">
      <c r="F116">
        <v>40</v>
      </c>
      <c r="G116">
        <v>43</v>
      </c>
    </row>
    <row r="117" spans="6:7" ht="12.75">
      <c r="F117">
        <v>39</v>
      </c>
      <c r="G117">
        <v>43</v>
      </c>
    </row>
    <row r="118" spans="6:7" ht="12.75">
      <c r="F118">
        <v>38</v>
      </c>
      <c r="G118">
        <v>43</v>
      </c>
    </row>
    <row r="119" spans="6:7" ht="12.75">
      <c r="F119">
        <v>37</v>
      </c>
      <c r="G119">
        <v>41</v>
      </c>
    </row>
    <row r="120" spans="6:7" ht="12.75">
      <c r="F120">
        <v>36</v>
      </c>
      <c r="G120">
        <v>41</v>
      </c>
    </row>
    <row r="121" spans="6:7" ht="12.75">
      <c r="F121">
        <v>35</v>
      </c>
      <c r="G121">
        <v>41</v>
      </c>
    </row>
    <row r="122" spans="6:7" ht="12.75">
      <c r="F122">
        <v>34</v>
      </c>
      <c r="G122">
        <v>40</v>
      </c>
    </row>
    <row r="123" spans="6:7" ht="12.75">
      <c r="F123">
        <v>33</v>
      </c>
      <c r="G123">
        <v>40</v>
      </c>
    </row>
    <row r="124" spans="6:7" ht="12.75">
      <c r="F124">
        <v>32</v>
      </c>
      <c r="G124">
        <v>40</v>
      </c>
    </row>
    <row r="125" spans="6:7" ht="12.75">
      <c r="F125">
        <v>31</v>
      </c>
      <c r="G125">
        <v>38</v>
      </c>
    </row>
    <row r="126" spans="6:7" ht="12.75">
      <c r="F126">
        <v>30</v>
      </c>
      <c r="G126">
        <v>38</v>
      </c>
    </row>
    <row r="127" spans="6:7" ht="12.75">
      <c r="F127">
        <v>29</v>
      </c>
      <c r="G127">
        <v>38</v>
      </c>
    </row>
    <row r="128" spans="6:7" ht="12.75">
      <c r="F128">
        <v>28</v>
      </c>
      <c r="G128">
        <v>38</v>
      </c>
    </row>
    <row r="129" spans="6:7" ht="12.75">
      <c r="F129">
        <v>27</v>
      </c>
      <c r="G129">
        <v>36</v>
      </c>
    </row>
    <row r="130" spans="6:7" ht="12.75">
      <c r="F130">
        <v>26</v>
      </c>
      <c r="G130">
        <v>36</v>
      </c>
    </row>
    <row r="131" spans="6:7" ht="12.75">
      <c r="F131">
        <v>25</v>
      </c>
      <c r="G131">
        <v>36</v>
      </c>
    </row>
    <row r="132" spans="6:7" ht="12.75">
      <c r="F132">
        <v>24</v>
      </c>
      <c r="G132">
        <v>36</v>
      </c>
    </row>
    <row r="133" spans="6:7" ht="12.75">
      <c r="F133">
        <v>23</v>
      </c>
      <c r="G133">
        <v>36</v>
      </c>
    </row>
    <row r="134" spans="6:7" ht="12.75">
      <c r="F134">
        <v>22</v>
      </c>
      <c r="G134">
        <v>36</v>
      </c>
    </row>
    <row r="135" spans="6:7" ht="12.75">
      <c r="F135">
        <v>21</v>
      </c>
      <c r="G135">
        <v>34</v>
      </c>
    </row>
    <row r="136" spans="6:7" ht="12.75">
      <c r="F136">
        <v>20</v>
      </c>
      <c r="G136">
        <v>34</v>
      </c>
    </row>
    <row r="137" spans="6:7" ht="12.75">
      <c r="F137">
        <v>19</v>
      </c>
      <c r="G137">
        <v>34</v>
      </c>
    </row>
    <row r="138" spans="6:7" ht="12.75">
      <c r="F138">
        <v>18</v>
      </c>
      <c r="G138">
        <v>34</v>
      </c>
    </row>
    <row r="139" spans="6:7" ht="12.75">
      <c r="F139">
        <v>17</v>
      </c>
      <c r="G139">
        <v>34</v>
      </c>
    </row>
    <row r="140" spans="6:7" ht="12.75">
      <c r="F140">
        <v>16</v>
      </c>
      <c r="G140">
        <v>34</v>
      </c>
    </row>
    <row r="141" spans="6:7" ht="12.75">
      <c r="F141">
        <v>15</v>
      </c>
      <c r="G141">
        <v>32</v>
      </c>
    </row>
    <row r="142" spans="6:7" ht="12.75">
      <c r="F142">
        <v>14</v>
      </c>
      <c r="G142">
        <v>32</v>
      </c>
    </row>
    <row r="143" spans="6:7" ht="12.75">
      <c r="F143">
        <v>13</v>
      </c>
      <c r="G143">
        <v>32</v>
      </c>
    </row>
    <row r="144" spans="6:7" ht="12.75">
      <c r="F144">
        <v>12</v>
      </c>
      <c r="G144">
        <v>32</v>
      </c>
    </row>
    <row r="145" spans="6:7" ht="12.75">
      <c r="F145">
        <v>11</v>
      </c>
      <c r="G145">
        <v>32</v>
      </c>
    </row>
    <row r="146" spans="6:7" ht="12.75">
      <c r="F146">
        <v>10</v>
      </c>
      <c r="G146">
        <v>32</v>
      </c>
    </row>
    <row r="147" spans="6:7" ht="12.75">
      <c r="F147">
        <v>9</v>
      </c>
      <c r="G147">
        <v>30</v>
      </c>
    </row>
    <row r="148" spans="6:7" ht="12.75">
      <c r="F148">
        <v>8</v>
      </c>
      <c r="G148">
        <v>30</v>
      </c>
    </row>
    <row r="149" spans="6:7" ht="12.75">
      <c r="F149">
        <v>7</v>
      </c>
      <c r="G149">
        <v>30</v>
      </c>
    </row>
    <row r="150" spans="6:7" ht="12.75">
      <c r="F150">
        <v>6</v>
      </c>
      <c r="G150">
        <v>30</v>
      </c>
    </row>
    <row r="151" spans="6:7" ht="12.75">
      <c r="F151">
        <v>5</v>
      </c>
      <c r="G151">
        <v>30</v>
      </c>
    </row>
    <row r="152" spans="6:7" ht="12.75">
      <c r="F152">
        <v>4</v>
      </c>
      <c r="G152">
        <v>30</v>
      </c>
    </row>
    <row r="153" spans="6:7" ht="12.75">
      <c r="F153">
        <v>3</v>
      </c>
      <c r="G153">
        <v>30</v>
      </c>
    </row>
    <row r="154" spans="6:7" ht="12.75">
      <c r="F154">
        <v>2</v>
      </c>
      <c r="G154">
        <v>30</v>
      </c>
    </row>
    <row r="155" spans="6:7" ht="12.75">
      <c r="F155">
        <v>1</v>
      </c>
      <c r="G155">
        <v>28</v>
      </c>
    </row>
    <row r="156" spans="6:7" ht="12.75">
      <c r="F156">
        <v>0</v>
      </c>
      <c r="G156">
        <v>28</v>
      </c>
    </row>
    <row r="157" spans="6:7" ht="12.75">
      <c r="F157">
        <v>-1</v>
      </c>
      <c r="G157">
        <v>28</v>
      </c>
    </row>
    <row r="158" spans="6:7" ht="12.75">
      <c r="F158">
        <v>-2</v>
      </c>
      <c r="G158">
        <v>28</v>
      </c>
    </row>
    <row r="159" spans="6:7" ht="12.75">
      <c r="F159">
        <v>-3</v>
      </c>
      <c r="G159">
        <v>28</v>
      </c>
    </row>
    <row r="160" spans="6:7" ht="12.75">
      <c r="F160">
        <v>-4</v>
      </c>
      <c r="G160">
        <v>28</v>
      </c>
    </row>
    <row r="161" spans="6:7" ht="12.75">
      <c r="F161">
        <v>-5</v>
      </c>
      <c r="G161">
        <v>28</v>
      </c>
    </row>
    <row r="162" spans="6:7" ht="12.75">
      <c r="F162">
        <v>-6</v>
      </c>
      <c r="G162">
        <v>28</v>
      </c>
    </row>
    <row r="163" spans="6:7" ht="12.75">
      <c r="F163">
        <v>-7</v>
      </c>
      <c r="G163">
        <v>28</v>
      </c>
    </row>
    <row r="164" spans="6:7" ht="12.75">
      <c r="F164">
        <v>-8</v>
      </c>
      <c r="G164">
        <v>26</v>
      </c>
    </row>
    <row r="165" spans="6:7" ht="12.75">
      <c r="F165">
        <v>-9</v>
      </c>
      <c r="G165">
        <v>26</v>
      </c>
    </row>
    <row r="166" spans="6:7" ht="12.75">
      <c r="F166">
        <v>-10</v>
      </c>
      <c r="G166">
        <v>26</v>
      </c>
    </row>
    <row r="167" spans="6:7" ht="12.75">
      <c r="F167">
        <v>-11</v>
      </c>
      <c r="G167">
        <v>26</v>
      </c>
    </row>
    <row r="168" spans="6:7" ht="12.75">
      <c r="F168">
        <v>-12</v>
      </c>
      <c r="G168">
        <v>26</v>
      </c>
    </row>
    <row r="169" spans="6:7" ht="12.75">
      <c r="F169">
        <v>-13</v>
      </c>
      <c r="G169">
        <v>24</v>
      </c>
    </row>
    <row r="170" spans="6:7" ht="12.75">
      <c r="F170">
        <v>-14</v>
      </c>
      <c r="G170">
        <v>24</v>
      </c>
    </row>
    <row r="171" spans="6:7" ht="12.75">
      <c r="F171">
        <v>-15</v>
      </c>
      <c r="G171">
        <v>24</v>
      </c>
    </row>
    <row r="172" spans="6:7" ht="12.75">
      <c r="F172">
        <v>-16</v>
      </c>
      <c r="G172">
        <v>24</v>
      </c>
    </row>
    <row r="173" spans="6:7" ht="12.75">
      <c r="F173">
        <v>-17</v>
      </c>
      <c r="G173">
        <v>24</v>
      </c>
    </row>
    <row r="174" spans="6:7" ht="12.75">
      <c r="F174">
        <v>-18</v>
      </c>
      <c r="G174">
        <v>24</v>
      </c>
    </row>
    <row r="175" spans="6:7" ht="12.75">
      <c r="F175">
        <v>-19</v>
      </c>
      <c r="G175">
        <v>22</v>
      </c>
    </row>
    <row r="176" spans="6:7" ht="12.75">
      <c r="F176">
        <v>-20</v>
      </c>
      <c r="G176">
        <v>22</v>
      </c>
    </row>
    <row r="177" spans="6:7" ht="12.75">
      <c r="F177">
        <v>-21</v>
      </c>
      <c r="G177">
        <v>22</v>
      </c>
    </row>
    <row r="178" spans="6:7" ht="12.75">
      <c r="F178">
        <v>-22</v>
      </c>
      <c r="G178">
        <v>22</v>
      </c>
    </row>
    <row r="179" spans="6:7" ht="12.75">
      <c r="F179">
        <v>-23</v>
      </c>
      <c r="G179">
        <v>22</v>
      </c>
    </row>
    <row r="180" spans="6:7" ht="12.75">
      <c r="F180">
        <v>-24</v>
      </c>
      <c r="G180">
        <v>22</v>
      </c>
    </row>
    <row r="181" spans="6:7" ht="12.75">
      <c r="F181">
        <v>-25</v>
      </c>
      <c r="G181">
        <v>20</v>
      </c>
    </row>
    <row r="182" spans="6:7" ht="12.75">
      <c r="F182">
        <v>-26</v>
      </c>
      <c r="G182">
        <v>20</v>
      </c>
    </row>
    <row r="183" spans="6:7" ht="12.75">
      <c r="F183">
        <v>-27</v>
      </c>
      <c r="G183">
        <v>20</v>
      </c>
    </row>
    <row r="184" spans="6:7" ht="12.75">
      <c r="F184">
        <v>-28</v>
      </c>
      <c r="G184">
        <v>20</v>
      </c>
    </row>
    <row r="185" spans="6:7" ht="12.75">
      <c r="F185">
        <v>-29</v>
      </c>
      <c r="G185">
        <v>20</v>
      </c>
    </row>
    <row r="186" spans="6:7" ht="12.75">
      <c r="F186">
        <v>-30</v>
      </c>
      <c r="G186">
        <v>20</v>
      </c>
    </row>
    <row r="187" spans="6:7" ht="12.75">
      <c r="F187">
        <v>-31</v>
      </c>
      <c r="G187">
        <v>18</v>
      </c>
    </row>
    <row r="188" spans="6:7" ht="12.75">
      <c r="F188">
        <v>-32</v>
      </c>
      <c r="G188">
        <v>18</v>
      </c>
    </row>
    <row r="189" spans="6:7" ht="12.75">
      <c r="F189">
        <v>-33</v>
      </c>
      <c r="G189">
        <v>18</v>
      </c>
    </row>
    <row r="190" spans="6:7" ht="12.75">
      <c r="F190">
        <v>-34</v>
      </c>
      <c r="G190">
        <v>18</v>
      </c>
    </row>
    <row r="191" spans="6:7" ht="12.75">
      <c r="F191">
        <v>-35</v>
      </c>
      <c r="G191">
        <v>18</v>
      </c>
    </row>
    <row r="192" spans="6:7" ht="12.75">
      <c r="F192">
        <v>-36</v>
      </c>
      <c r="G192">
        <v>18</v>
      </c>
    </row>
    <row r="193" spans="6:7" ht="12.75">
      <c r="F193">
        <v>-37</v>
      </c>
      <c r="G193">
        <v>18</v>
      </c>
    </row>
    <row r="194" spans="6:7" ht="12.75">
      <c r="F194">
        <v>-38</v>
      </c>
      <c r="G194">
        <v>18</v>
      </c>
    </row>
    <row r="195" spans="6:7" ht="12.75">
      <c r="F195">
        <v>-39</v>
      </c>
      <c r="G195">
        <v>16</v>
      </c>
    </row>
    <row r="196" spans="6:7" ht="12.75">
      <c r="F196">
        <v>-40</v>
      </c>
      <c r="G196">
        <v>16</v>
      </c>
    </row>
    <row r="197" spans="6:7" ht="12.75">
      <c r="F197">
        <v>-41</v>
      </c>
      <c r="G197">
        <v>16</v>
      </c>
    </row>
    <row r="198" spans="6:7" ht="12.75">
      <c r="F198">
        <v>-42</v>
      </c>
      <c r="G198">
        <v>16</v>
      </c>
    </row>
    <row r="199" spans="6:7" ht="12.75">
      <c r="F199">
        <v>-43</v>
      </c>
      <c r="G199">
        <v>16</v>
      </c>
    </row>
    <row r="200" spans="6:7" ht="12.75">
      <c r="F200">
        <v>-44</v>
      </c>
      <c r="G200">
        <v>16</v>
      </c>
    </row>
    <row r="201" spans="6:7" ht="12.75">
      <c r="F201">
        <v>-45</v>
      </c>
      <c r="G201">
        <v>16</v>
      </c>
    </row>
    <row r="202" spans="6:7" ht="12.75">
      <c r="F202">
        <v>-46</v>
      </c>
      <c r="G202">
        <v>16</v>
      </c>
    </row>
    <row r="203" spans="6:7" ht="12.75">
      <c r="F203">
        <v>-47</v>
      </c>
      <c r="G203">
        <v>14</v>
      </c>
    </row>
    <row r="204" spans="6:7" ht="12.75">
      <c r="F204">
        <v>-48</v>
      </c>
      <c r="G204">
        <v>14</v>
      </c>
    </row>
    <row r="205" spans="6:7" ht="12.75">
      <c r="F205">
        <v>-49</v>
      </c>
      <c r="G205">
        <v>14</v>
      </c>
    </row>
    <row r="206" spans="6:7" ht="12.75">
      <c r="F206">
        <v>-50</v>
      </c>
      <c r="G206">
        <v>14</v>
      </c>
    </row>
    <row r="207" spans="6:7" ht="12.75">
      <c r="F207">
        <v>-51</v>
      </c>
      <c r="G207">
        <v>14</v>
      </c>
    </row>
    <row r="208" spans="6:7" ht="12.75">
      <c r="F208">
        <v>-52</v>
      </c>
      <c r="G208">
        <v>14</v>
      </c>
    </row>
    <row r="209" spans="6:7" ht="12.75">
      <c r="F209">
        <v>-53</v>
      </c>
      <c r="G209">
        <v>14</v>
      </c>
    </row>
    <row r="210" spans="6:7" ht="12.75">
      <c r="F210">
        <v>-54</v>
      </c>
      <c r="G210">
        <v>14</v>
      </c>
    </row>
    <row r="211" spans="6:7" ht="12.75">
      <c r="F211">
        <v>-55</v>
      </c>
      <c r="G211">
        <v>14</v>
      </c>
    </row>
    <row r="212" spans="6:7" ht="12.75">
      <c r="F212">
        <v>-56</v>
      </c>
      <c r="G212">
        <v>14</v>
      </c>
    </row>
    <row r="213" spans="6:7" ht="12.75">
      <c r="F213">
        <v>-57</v>
      </c>
      <c r="G213">
        <v>14</v>
      </c>
    </row>
    <row r="214" spans="6:7" ht="12.75">
      <c r="F214">
        <v>-58</v>
      </c>
      <c r="G214">
        <v>14</v>
      </c>
    </row>
    <row r="215" spans="6:7" ht="12.75">
      <c r="F215">
        <v>-59</v>
      </c>
      <c r="G215">
        <v>14</v>
      </c>
    </row>
    <row r="216" spans="6:7" ht="12.75">
      <c r="F216">
        <v>-60</v>
      </c>
      <c r="G216">
        <v>14</v>
      </c>
    </row>
    <row r="217" spans="6:7" ht="12.75">
      <c r="F217">
        <v>-61</v>
      </c>
      <c r="G217">
        <v>12</v>
      </c>
    </row>
    <row r="218" spans="6:7" ht="12.75">
      <c r="F218">
        <v>-62</v>
      </c>
      <c r="G218">
        <v>12</v>
      </c>
    </row>
    <row r="219" spans="6:7" ht="12.75">
      <c r="F219">
        <v>-63</v>
      </c>
      <c r="G219">
        <v>12</v>
      </c>
    </row>
    <row r="220" spans="6:7" ht="12.75">
      <c r="F220">
        <v>-64</v>
      </c>
      <c r="G220">
        <v>12</v>
      </c>
    </row>
    <row r="221" spans="6:7" ht="12.75">
      <c r="F221">
        <v>-65</v>
      </c>
      <c r="G221">
        <v>12</v>
      </c>
    </row>
    <row r="222" spans="6:7" ht="12.75">
      <c r="F222">
        <v>-66</v>
      </c>
      <c r="G222">
        <v>12</v>
      </c>
    </row>
    <row r="223" spans="6:7" ht="12.75">
      <c r="F223">
        <v>-67</v>
      </c>
      <c r="G223">
        <v>12</v>
      </c>
    </row>
    <row r="224" spans="6:7" ht="12.75">
      <c r="F224">
        <v>-68</v>
      </c>
      <c r="G224">
        <v>12</v>
      </c>
    </row>
    <row r="225" spans="6:7" ht="12.75">
      <c r="F225">
        <v>-69</v>
      </c>
      <c r="G225">
        <v>12</v>
      </c>
    </row>
    <row r="226" spans="6:7" ht="12.75">
      <c r="F226">
        <v>-70</v>
      </c>
      <c r="G226">
        <v>12</v>
      </c>
    </row>
    <row r="227" spans="6:7" ht="12.75">
      <c r="F227">
        <v>-71</v>
      </c>
      <c r="G227">
        <v>12</v>
      </c>
    </row>
    <row r="228" spans="6:7" ht="12.75">
      <c r="F228">
        <v>-72</v>
      </c>
      <c r="G228">
        <v>12</v>
      </c>
    </row>
    <row r="229" spans="6:7" ht="12.75">
      <c r="F229">
        <v>-73</v>
      </c>
      <c r="G229">
        <v>12</v>
      </c>
    </row>
    <row r="230" spans="6:7" ht="12.75">
      <c r="F230">
        <v>-74</v>
      </c>
      <c r="G230">
        <v>12</v>
      </c>
    </row>
    <row r="231" spans="6:7" ht="12.75">
      <c r="F231">
        <v>-75</v>
      </c>
      <c r="G231">
        <v>12</v>
      </c>
    </row>
    <row r="232" spans="6:7" ht="12.75">
      <c r="F232">
        <v>-76</v>
      </c>
      <c r="G232">
        <v>12</v>
      </c>
    </row>
    <row r="233" spans="6:7" ht="12.75">
      <c r="F233">
        <v>-77</v>
      </c>
      <c r="G233">
        <v>12</v>
      </c>
    </row>
    <row r="234" spans="6:7" ht="12.75">
      <c r="F234">
        <v>-78</v>
      </c>
      <c r="G234">
        <v>12</v>
      </c>
    </row>
    <row r="235" spans="6:7" ht="12.75">
      <c r="F235">
        <v>-79</v>
      </c>
      <c r="G235">
        <v>12</v>
      </c>
    </row>
    <row r="236" spans="6:7" ht="12.75">
      <c r="F236">
        <v>-80</v>
      </c>
      <c r="G236">
        <v>12</v>
      </c>
    </row>
    <row r="237" spans="6:7" ht="12.75">
      <c r="F237">
        <v>-81</v>
      </c>
      <c r="G237">
        <v>10</v>
      </c>
    </row>
    <row r="238" spans="6:7" ht="12.75">
      <c r="F238">
        <v>-82</v>
      </c>
      <c r="G238">
        <v>10</v>
      </c>
    </row>
    <row r="239" spans="6:7" ht="12.75">
      <c r="F239">
        <v>-83</v>
      </c>
      <c r="G239">
        <v>10</v>
      </c>
    </row>
    <row r="240" spans="6:7" ht="12.75">
      <c r="F240">
        <v>-84</v>
      </c>
      <c r="G240">
        <v>10</v>
      </c>
    </row>
    <row r="241" spans="6:7" ht="12.75">
      <c r="F241">
        <v>-85</v>
      </c>
      <c r="G241">
        <v>10</v>
      </c>
    </row>
    <row r="242" spans="6:7" ht="12.75">
      <c r="F242">
        <v>-86</v>
      </c>
      <c r="G242">
        <v>10</v>
      </c>
    </row>
    <row r="243" spans="6:7" ht="12.75">
      <c r="F243">
        <v>-87</v>
      </c>
      <c r="G243">
        <v>10</v>
      </c>
    </row>
    <row r="244" spans="6:7" ht="12.75">
      <c r="F244">
        <v>-88</v>
      </c>
      <c r="G244">
        <v>10</v>
      </c>
    </row>
    <row r="245" spans="6:7" ht="12.75">
      <c r="F245">
        <v>-89</v>
      </c>
      <c r="G245">
        <v>10</v>
      </c>
    </row>
    <row r="246" spans="6:7" ht="12.75">
      <c r="F246">
        <v>-90</v>
      </c>
      <c r="G246">
        <v>10</v>
      </c>
    </row>
    <row r="247" spans="6:7" ht="12.75">
      <c r="F247">
        <v>-91</v>
      </c>
      <c r="G247">
        <v>10</v>
      </c>
    </row>
    <row r="248" spans="6:7" ht="12.75">
      <c r="F248">
        <v>-92</v>
      </c>
      <c r="G248">
        <v>10</v>
      </c>
    </row>
    <row r="249" spans="6:7" ht="12.75">
      <c r="F249">
        <v>-93</v>
      </c>
      <c r="G249">
        <v>10</v>
      </c>
    </row>
    <row r="250" spans="6:7" ht="12.75">
      <c r="F250">
        <v>-94</v>
      </c>
      <c r="G250">
        <v>10</v>
      </c>
    </row>
    <row r="251" spans="6:7" ht="12.75">
      <c r="F251">
        <v>-95</v>
      </c>
      <c r="G251">
        <v>10</v>
      </c>
    </row>
    <row r="252" spans="6:7" ht="12.75">
      <c r="F252">
        <v>-96</v>
      </c>
      <c r="G252">
        <v>10</v>
      </c>
    </row>
    <row r="253" spans="6:7" ht="12.75">
      <c r="F253">
        <v>-97</v>
      </c>
      <c r="G253">
        <v>10</v>
      </c>
    </row>
    <row r="254" spans="6:7" ht="12.75">
      <c r="F254">
        <v>-98</v>
      </c>
      <c r="G254">
        <v>10</v>
      </c>
    </row>
    <row r="255" spans="6:7" ht="12.75">
      <c r="F255">
        <v>-99</v>
      </c>
      <c r="G255">
        <v>10</v>
      </c>
    </row>
    <row r="256" spans="6:7" ht="12.75">
      <c r="F256">
        <v>-100</v>
      </c>
      <c r="G256">
        <v>10</v>
      </c>
    </row>
    <row r="257" spans="6:7" ht="12.75">
      <c r="F257">
        <v>-101</v>
      </c>
      <c r="G257">
        <v>8</v>
      </c>
    </row>
    <row r="258" spans="6:7" ht="12.75">
      <c r="F258">
        <v>-102</v>
      </c>
      <c r="G258">
        <v>8</v>
      </c>
    </row>
    <row r="259" spans="6:7" ht="12.75">
      <c r="F259">
        <v>-103</v>
      </c>
      <c r="G259">
        <v>8</v>
      </c>
    </row>
    <row r="260" spans="6:7" ht="12.75">
      <c r="F260">
        <v>-104</v>
      </c>
      <c r="G260">
        <v>8</v>
      </c>
    </row>
    <row r="261" spans="6:7" ht="12.75">
      <c r="F261">
        <v>-105</v>
      </c>
      <c r="G261">
        <v>8</v>
      </c>
    </row>
    <row r="262" spans="6:7" ht="12.75">
      <c r="F262">
        <v>-106</v>
      </c>
      <c r="G262">
        <v>8</v>
      </c>
    </row>
    <row r="263" spans="6:7" ht="12.75">
      <c r="F263">
        <v>-107</v>
      </c>
      <c r="G263">
        <v>8</v>
      </c>
    </row>
    <row r="264" spans="6:7" ht="12.75">
      <c r="F264">
        <v>-108</v>
      </c>
      <c r="G264">
        <v>8</v>
      </c>
    </row>
    <row r="265" spans="6:7" ht="12.75">
      <c r="F265">
        <v>-109</v>
      </c>
      <c r="G265">
        <v>8</v>
      </c>
    </row>
    <row r="266" spans="6:7" ht="12.75">
      <c r="F266">
        <v>-110</v>
      </c>
      <c r="G266">
        <v>8</v>
      </c>
    </row>
    <row r="267" spans="6:7" ht="12.75">
      <c r="F267">
        <v>-111</v>
      </c>
      <c r="G267">
        <v>8</v>
      </c>
    </row>
    <row r="268" spans="6:7" ht="12.75">
      <c r="F268">
        <v>-112</v>
      </c>
      <c r="G268">
        <v>8</v>
      </c>
    </row>
    <row r="269" spans="6:7" ht="12.75">
      <c r="F269">
        <v>-113</v>
      </c>
      <c r="G269">
        <v>8</v>
      </c>
    </row>
    <row r="270" spans="6:7" ht="12.75">
      <c r="F270">
        <v>-114</v>
      </c>
      <c r="G270">
        <v>8</v>
      </c>
    </row>
    <row r="271" spans="6:7" ht="12.75">
      <c r="F271">
        <v>-115</v>
      </c>
      <c r="G271">
        <v>8</v>
      </c>
    </row>
    <row r="272" spans="6:7" ht="12.75">
      <c r="F272">
        <v>-116</v>
      </c>
      <c r="G272">
        <v>8</v>
      </c>
    </row>
    <row r="273" spans="6:7" ht="12.75">
      <c r="F273">
        <v>-117</v>
      </c>
      <c r="G273">
        <v>8</v>
      </c>
    </row>
    <row r="274" spans="6:7" ht="12.75">
      <c r="F274">
        <v>-118</v>
      </c>
      <c r="G274">
        <v>8</v>
      </c>
    </row>
    <row r="275" spans="6:7" ht="12.75">
      <c r="F275">
        <v>-119</v>
      </c>
      <c r="G275">
        <v>8</v>
      </c>
    </row>
    <row r="276" spans="6:7" ht="12.75">
      <c r="F276">
        <v>-120</v>
      </c>
      <c r="G276">
        <v>8</v>
      </c>
    </row>
    <row r="277" spans="6:7" ht="12.75">
      <c r="F277">
        <v>-121</v>
      </c>
      <c r="G277">
        <v>6</v>
      </c>
    </row>
    <row r="278" spans="6:7" ht="12.75">
      <c r="F278">
        <v>-122</v>
      </c>
      <c r="G278">
        <v>6</v>
      </c>
    </row>
    <row r="279" spans="6:7" ht="12.75">
      <c r="F279">
        <v>-123</v>
      </c>
      <c r="G279">
        <v>6</v>
      </c>
    </row>
    <row r="280" spans="6:7" ht="12.75">
      <c r="F280">
        <v>-124</v>
      </c>
      <c r="G280">
        <v>6</v>
      </c>
    </row>
    <row r="281" spans="6:7" ht="12.75">
      <c r="F281">
        <v>-125</v>
      </c>
      <c r="G281">
        <v>6</v>
      </c>
    </row>
    <row r="282" spans="6:7" ht="12.75">
      <c r="F282">
        <v>-126</v>
      </c>
      <c r="G282">
        <v>6</v>
      </c>
    </row>
    <row r="283" spans="6:7" ht="12.75">
      <c r="F283">
        <v>-127</v>
      </c>
      <c r="G283">
        <v>6</v>
      </c>
    </row>
    <row r="284" spans="6:7" ht="12.75">
      <c r="F284">
        <v>-128</v>
      </c>
      <c r="G284">
        <v>6</v>
      </c>
    </row>
    <row r="285" spans="6:7" ht="12.75">
      <c r="F285">
        <v>-129</v>
      </c>
      <c r="G285">
        <v>6</v>
      </c>
    </row>
    <row r="286" spans="6:7" ht="12.75">
      <c r="F286">
        <v>-130</v>
      </c>
      <c r="G286">
        <v>6</v>
      </c>
    </row>
    <row r="287" spans="6:7" ht="12.75">
      <c r="F287">
        <v>-131</v>
      </c>
      <c r="G287">
        <v>6</v>
      </c>
    </row>
    <row r="288" spans="6:7" ht="12.75">
      <c r="F288">
        <v>-132</v>
      </c>
      <c r="G288">
        <v>6</v>
      </c>
    </row>
    <row r="289" spans="6:7" ht="12.75">
      <c r="F289">
        <v>-133</v>
      </c>
      <c r="G289">
        <v>6</v>
      </c>
    </row>
    <row r="290" spans="6:7" ht="12.75">
      <c r="F290">
        <v>-134</v>
      </c>
      <c r="G290">
        <v>6</v>
      </c>
    </row>
    <row r="291" spans="6:7" ht="12.75">
      <c r="F291">
        <v>-135</v>
      </c>
      <c r="G291">
        <v>6</v>
      </c>
    </row>
    <row r="292" spans="6:7" ht="12.75">
      <c r="F292">
        <v>-136</v>
      </c>
      <c r="G292">
        <v>6</v>
      </c>
    </row>
    <row r="293" spans="6:7" ht="12.75">
      <c r="F293">
        <v>-137</v>
      </c>
      <c r="G293">
        <v>6</v>
      </c>
    </row>
    <row r="294" spans="6:7" ht="12.75">
      <c r="F294">
        <v>-138</v>
      </c>
      <c r="G294">
        <v>6</v>
      </c>
    </row>
    <row r="295" spans="6:7" ht="12.75">
      <c r="F295">
        <v>-139</v>
      </c>
      <c r="G295">
        <v>6</v>
      </c>
    </row>
    <row r="296" spans="6:7" ht="12.75">
      <c r="F296">
        <v>-140</v>
      </c>
      <c r="G296">
        <v>6</v>
      </c>
    </row>
    <row r="297" spans="6:7" ht="12.75">
      <c r="F297">
        <v>-141</v>
      </c>
      <c r="G297">
        <v>4</v>
      </c>
    </row>
    <row r="298" spans="6:7" ht="12.75">
      <c r="F298">
        <v>-142</v>
      </c>
      <c r="G298">
        <v>4</v>
      </c>
    </row>
    <row r="299" spans="6:7" ht="12.75">
      <c r="F299">
        <v>-143</v>
      </c>
      <c r="G299">
        <v>4</v>
      </c>
    </row>
    <row r="300" spans="6:7" ht="12.75">
      <c r="F300">
        <v>-144</v>
      </c>
      <c r="G300">
        <v>4</v>
      </c>
    </row>
    <row r="301" spans="6:7" ht="12.75">
      <c r="F301">
        <v>-145</v>
      </c>
      <c r="G301">
        <v>4</v>
      </c>
    </row>
    <row r="302" spans="6:7" ht="12.75">
      <c r="F302">
        <v>-146</v>
      </c>
      <c r="G302">
        <v>4</v>
      </c>
    </row>
    <row r="303" spans="6:7" ht="12.75">
      <c r="F303">
        <v>-147</v>
      </c>
      <c r="G303">
        <v>4</v>
      </c>
    </row>
    <row r="304" spans="6:7" ht="12.75">
      <c r="F304">
        <v>-148</v>
      </c>
      <c r="G304">
        <v>4</v>
      </c>
    </row>
    <row r="305" spans="6:7" ht="12.75">
      <c r="F305">
        <v>-149</v>
      </c>
      <c r="G305">
        <v>4</v>
      </c>
    </row>
    <row r="306" spans="6:7" ht="12.75">
      <c r="F306">
        <v>-150</v>
      </c>
      <c r="G306">
        <v>4</v>
      </c>
    </row>
    <row r="307" spans="6:7" ht="12.75">
      <c r="F307">
        <v>-151</v>
      </c>
      <c r="G307">
        <v>4</v>
      </c>
    </row>
    <row r="308" spans="6:7" ht="12.75">
      <c r="F308">
        <v>-152</v>
      </c>
      <c r="G308">
        <v>4</v>
      </c>
    </row>
    <row r="309" spans="6:7" ht="12.75">
      <c r="F309">
        <v>-153</v>
      </c>
      <c r="G309">
        <v>4</v>
      </c>
    </row>
    <row r="310" spans="6:7" ht="12.75">
      <c r="F310">
        <v>-154</v>
      </c>
      <c r="G310">
        <v>4</v>
      </c>
    </row>
    <row r="311" spans="6:7" ht="12.75">
      <c r="F311">
        <v>-155</v>
      </c>
      <c r="G311">
        <v>4</v>
      </c>
    </row>
    <row r="312" spans="6:7" ht="12.75">
      <c r="F312">
        <v>-156</v>
      </c>
      <c r="G312">
        <v>4</v>
      </c>
    </row>
    <row r="313" spans="6:7" ht="12.75">
      <c r="F313">
        <v>-157</v>
      </c>
      <c r="G313">
        <v>4</v>
      </c>
    </row>
    <row r="314" spans="6:7" ht="12.75">
      <c r="F314">
        <v>-158</v>
      </c>
      <c r="G314">
        <v>4</v>
      </c>
    </row>
    <row r="315" spans="6:7" ht="12.75">
      <c r="F315">
        <v>-159</v>
      </c>
      <c r="G315">
        <v>4</v>
      </c>
    </row>
    <row r="316" spans="6:7" ht="12.75">
      <c r="F316">
        <v>-160</v>
      </c>
      <c r="G316">
        <v>4</v>
      </c>
    </row>
    <row r="317" spans="6:7" ht="12.75">
      <c r="F317">
        <v>-161</v>
      </c>
      <c r="G317">
        <v>2</v>
      </c>
    </row>
    <row r="318" spans="6:7" ht="12.75">
      <c r="F318">
        <v>-162</v>
      </c>
      <c r="G318">
        <v>2</v>
      </c>
    </row>
    <row r="319" spans="6:7" ht="12.75">
      <c r="F319">
        <v>-163</v>
      </c>
      <c r="G319">
        <v>2</v>
      </c>
    </row>
    <row r="320" spans="6:7" ht="12.75">
      <c r="F320">
        <v>-164</v>
      </c>
      <c r="G320">
        <v>2</v>
      </c>
    </row>
    <row r="321" spans="6:7" ht="12.75">
      <c r="F321">
        <v>-165</v>
      </c>
      <c r="G321">
        <v>2</v>
      </c>
    </row>
    <row r="322" spans="6:7" ht="12.75">
      <c r="F322">
        <v>-166</v>
      </c>
      <c r="G322">
        <v>2</v>
      </c>
    </row>
    <row r="323" spans="6:7" ht="12.75">
      <c r="F323">
        <v>-167</v>
      </c>
      <c r="G323">
        <v>2</v>
      </c>
    </row>
    <row r="324" spans="6:7" ht="12.75">
      <c r="F324">
        <v>-168</v>
      </c>
      <c r="G324">
        <v>2</v>
      </c>
    </row>
    <row r="325" spans="6:7" ht="12.75">
      <c r="F325">
        <v>-169</v>
      </c>
      <c r="G325">
        <v>2</v>
      </c>
    </row>
    <row r="326" spans="6:7" ht="12.75">
      <c r="F326">
        <v>-170</v>
      </c>
      <c r="G326">
        <v>2</v>
      </c>
    </row>
    <row r="327" spans="6:7" ht="12.75">
      <c r="F327">
        <v>-171</v>
      </c>
      <c r="G327">
        <v>2</v>
      </c>
    </row>
    <row r="328" spans="6:7" ht="12.75">
      <c r="F328">
        <v>-172</v>
      </c>
      <c r="G328">
        <v>2</v>
      </c>
    </row>
    <row r="329" spans="6:7" ht="12.75">
      <c r="F329">
        <v>-173</v>
      </c>
      <c r="G329">
        <v>2</v>
      </c>
    </row>
    <row r="330" spans="6:7" ht="12.75">
      <c r="F330">
        <v>-174</v>
      </c>
      <c r="G330">
        <v>2</v>
      </c>
    </row>
    <row r="331" spans="6:7" ht="12.75">
      <c r="F331">
        <v>-175</v>
      </c>
      <c r="G331">
        <v>2</v>
      </c>
    </row>
    <row r="332" spans="6:7" ht="12.75">
      <c r="F332">
        <v>-176</v>
      </c>
      <c r="G332">
        <v>2</v>
      </c>
    </row>
    <row r="333" spans="6:7" ht="12.75">
      <c r="F333">
        <v>-177</v>
      </c>
      <c r="G333">
        <v>2</v>
      </c>
    </row>
    <row r="334" spans="6:7" ht="12.75">
      <c r="F334">
        <v>-178</v>
      </c>
      <c r="G334">
        <v>2</v>
      </c>
    </row>
    <row r="335" spans="6:7" ht="12.75">
      <c r="F335">
        <v>-179</v>
      </c>
      <c r="G335">
        <v>2</v>
      </c>
    </row>
    <row r="336" spans="6:7" ht="12.75">
      <c r="F336">
        <v>-180</v>
      </c>
      <c r="G336">
        <v>2</v>
      </c>
    </row>
    <row r="337" spans="6:7" ht="12.75">
      <c r="F337">
        <v>-181</v>
      </c>
      <c r="G337">
        <v>0</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51"/>
  <sheetViews>
    <sheetView workbookViewId="0" topLeftCell="A1">
      <selection activeCell="B31" sqref="B31"/>
    </sheetView>
  </sheetViews>
  <sheetFormatPr defaultColWidth="9.140625" defaultRowHeight="12.75"/>
  <cols>
    <col min="1" max="1" width="22.8515625" style="30" customWidth="1"/>
    <col min="2" max="2" width="24.421875" style="30" bestFit="1" customWidth="1"/>
    <col min="3" max="3" width="14.140625" style="30" customWidth="1"/>
    <col min="5" max="5" width="22.140625" style="0" hidden="1" customWidth="1"/>
    <col min="6" max="6" width="19.421875" style="35" bestFit="1" customWidth="1"/>
    <col min="7" max="7" width="15.57421875" style="35" bestFit="1" customWidth="1"/>
    <col min="8" max="8" width="28.8515625" style="0" customWidth="1"/>
  </cols>
  <sheetData>
    <row r="1" ht="12.75">
      <c r="A1" s="30" t="s">
        <v>103</v>
      </c>
    </row>
    <row r="2" ht="12.75">
      <c r="A2" s="30" t="s">
        <v>125</v>
      </c>
    </row>
    <row r="3" ht="12.75">
      <c r="A3" s="30" t="s">
        <v>109</v>
      </c>
    </row>
    <row r="5" spans="1:2" ht="12.75">
      <c r="A5" s="30" t="s">
        <v>105</v>
      </c>
      <c r="B5" s="32">
        <v>10</v>
      </c>
    </row>
    <row r="7" spans="1:8" ht="12.75">
      <c r="A7" s="31" t="s">
        <v>100</v>
      </c>
      <c r="B7" s="31" t="s">
        <v>101</v>
      </c>
      <c r="C7" s="31" t="s">
        <v>102</v>
      </c>
      <c r="D7" s="31" t="s">
        <v>104</v>
      </c>
      <c r="E7" s="31" t="s">
        <v>502</v>
      </c>
      <c r="F7" s="36" t="s">
        <v>323</v>
      </c>
      <c r="G7" s="36" t="s">
        <v>324</v>
      </c>
      <c r="H7" s="31" t="s">
        <v>926</v>
      </c>
    </row>
    <row r="8" spans="1:7" ht="12.75">
      <c r="A8" s="30" t="s">
        <v>491</v>
      </c>
      <c r="B8" s="30" t="s">
        <v>111</v>
      </c>
      <c r="C8" s="30" t="s">
        <v>106</v>
      </c>
      <c r="D8" s="33">
        <f>($B$5+10)/250</f>
        <v>0.08</v>
      </c>
      <c r="E8" t="s">
        <v>204</v>
      </c>
      <c r="F8" s="35">
        <f>1/D8</f>
        <v>12.5</v>
      </c>
      <c r="G8" s="35">
        <f>F8</f>
        <v>12.5</v>
      </c>
    </row>
    <row r="9" spans="1:7" ht="12.75">
      <c r="A9" s="30" t="s">
        <v>443</v>
      </c>
      <c r="B9" s="30" t="s">
        <v>112</v>
      </c>
      <c r="C9" s="30" t="s">
        <v>107</v>
      </c>
      <c r="D9" s="33">
        <f>25/1000</f>
        <v>0.025</v>
      </c>
      <c r="E9" t="s">
        <v>205</v>
      </c>
      <c r="F9" s="35">
        <f aca="true" t="shared" si="0" ref="F9:F36">1/D9</f>
        <v>40</v>
      </c>
      <c r="G9" s="35">
        <f aca="true" t="shared" si="1" ref="G9:G14">F9</f>
        <v>40</v>
      </c>
    </row>
    <row r="10" spans="1:7" ht="12.75">
      <c r="A10" s="30" t="s">
        <v>108</v>
      </c>
      <c r="B10" s="30" t="s">
        <v>110</v>
      </c>
      <c r="C10" s="30" t="s">
        <v>113</v>
      </c>
      <c r="D10" s="33">
        <f>($B$5+5)/150</f>
        <v>0.1</v>
      </c>
      <c r="E10" t="s">
        <v>296</v>
      </c>
      <c r="F10" s="35">
        <f t="shared" si="0"/>
        <v>10</v>
      </c>
      <c r="G10" s="35">
        <f t="shared" si="1"/>
        <v>10</v>
      </c>
    </row>
    <row r="11" spans="1:8" ht="12.75">
      <c r="A11" s="30" t="s">
        <v>114</v>
      </c>
      <c r="B11" s="30" t="s">
        <v>116</v>
      </c>
      <c r="C11" s="30" t="s">
        <v>115</v>
      </c>
      <c r="D11" s="33">
        <f>($B$5+5)/120</f>
        <v>0.125</v>
      </c>
      <c r="E11" t="s">
        <v>297</v>
      </c>
      <c r="F11" s="35">
        <f t="shared" si="0"/>
        <v>8</v>
      </c>
      <c r="G11" s="35">
        <f t="shared" si="1"/>
        <v>8</v>
      </c>
      <c r="H11" s="30" t="s">
        <v>117</v>
      </c>
    </row>
    <row r="12" spans="1:8" ht="12.75">
      <c r="A12" s="30" t="s">
        <v>449</v>
      </c>
      <c r="B12" s="30" t="s">
        <v>118</v>
      </c>
      <c r="C12" s="30" t="s">
        <v>107</v>
      </c>
      <c r="D12" s="33">
        <f>25/1000</f>
        <v>0.025</v>
      </c>
      <c r="E12" t="s">
        <v>298</v>
      </c>
      <c r="F12" s="35">
        <f t="shared" si="0"/>
        <v>40</v>
      </c>
      <c r="G12" s="35">
        <f t="shared" si="1"/>
        <v>40</v>
      </c>
      <c r="H12" s="30" t="s">
        <v>117</v>
      </c>
    </row>
    <row r="13" spans="1:8" ht="12.75">
      <c r="A13" s="30" t="s">
        <v>135</v>
      </c>
      <c r="B13" s="30" t="s">
        <v>136</v>
      </c>
      <c r="C13" s="30" t="s">
        <v>137</v>
      </c>
      <c r="D13" s="33">
        <f>($B$5+10)/500</f>
        <v>0.04</v>
      </c>
      <c r="E13" t="s">
        <v>321</v>
      </c>
      <c r="F13" s="35">
        <f t="shared" si="0"/>
        <v>25</v>
      </c>
      <c r="G13" s="35">
        <f t="shared" si="1"/>
        <v>25</v>
      </c>
      <c r="H13" s="30"/>
    </row>
    <row r="14" spans="1:7" ht="12.75">
      <c r="A14" s="30" t="s">
        <v>167</v>
      </c>
      <c r="B14" s="30" t="s">
        <v>168</v>
      </c>
      <c r="C14" s="30" t="s">
        <v>138</v>
      </c>
      <c r="D14" s="33">
        <f>50/1000</f>
        <v>0.05</v>
      </c>
      <c r="E14" t="s">
        <v>322</v>
      </c>
      <c r="F14" s="35">
        <f t="shared" si="0"/>
        <v>20</v>
      </c>
      <c r="G14" s="35">
        <f t="shared" si="1"/>
        <v>20</v>
      </c>
    </row>
    <row r="15" spans="1:8" ht="12.75">
      <c r="A15" s="30" t="s">
        <v>182</v>
      </c>
      <c r="B15" s="30" t="s">
        <v>123</v>
      </c>
      <c r="C15" s="30" t="s">
        <v>119</v>
      </c>
      <c r="D15" s="33">
        <f>125/1000</f>
        <v>0.125</v>
      </c>
      <c r="E15" t="s">
        <v>494</v>
      </c>
      <c r="F15" s="35">
        <f t="shared" si="0"/>
        <v>8</v>
      </c>
      <c r="G15" s="35">
        <f>F15</f>
        <v>8</v>
      </c>
      <c r="H15" s="30" t="s">
        <v>124</v>
      </c>
    </row>
    <row r="16" spans="1:7" ht="12.75">
      <c r="A16" s="30" t="s">
        <v>183</v>
      </c>
      <c r="B16" s="30" t="s">
        <v>123</v>
      </c>
      <c r="C16" s="30" t="s">
        <v>119</v>
      </c>
      <c r="D16" s="33">
        <f>125/1000</f>
        <v>0.125</v>
      </c>
      <c r="E16" t="s">
        <v>495</v>
      </c>
      <c r="F16" s="35">
        <f t="shared" si="0"/>
        <v>8</v>
      </c>
      <c r="G16" s="35">
        <f>F16+G15</f>
        <v>16</v>
      </c>
    </row>
    <row r="17" spans="1:7" ht="12.75">
      <c r="A17" s="30" t="s">
        <v>184</v>
      </c>
      <c r="B17" s="30" t="s">
        <v>123</v>
      </c>
      <c r="C17" s="30" t="s">
        <v>119</v>
      </c>
      <c r="D17" s="33">
        <f>125/1000</f>
        <v>0.125</v>
      </c>
      <c r="E17" t="s">
        <v>496</v>
      </c>
      <c r="F17" s="35">
        <f t="shared" si="0"/>
        <v>8</v>
      </c>
      <c r="G17" s="35">
        <f>F17+G16</f>
        <v>24</v>
      </c>
    </row>
    <row r="18" spans="1:8" ht="12.75">
      <c r="A18" s="30" t="s">
        <v>185</v>
      </c>
      <c r="B18" s="30" t="s">
        <v>126</v>
      </c>
      <c r="C18" s="30" t="s">
        <v>119</v>
      </c>
      <c r="D18" s="33">
        <f>125/1000</f>
        <v>0.125</v>
      </c>
      <c r="E18" t="s">
        <v>497</v>
      </c>
      <c r="F18" s="35">
        <f t="shared" si="0"/>
        <v>8</v>
      </c>
      <c r="G18" s="35">
        <f>F18+G17</f>
        <v>32</v>
      </c>
      <c r="H18" s="30" t="s">
        <v>124</v>
      </c>
    </row>
    <row r="19" spans="1:7" ht="12.75">
      <c r="A19" s="30" t="s">
        <v>186</v>
      </c>
      <c r="B19" s="30" t="s">
        <v>121</v>
      </c>
      <c r="C19" s="30" t="s">
        <v>120</v>
      </c>
      <c r="D19" s="33">
        <f>250/1000</f>
        <v>0.25</v>
      </c>
      <c r="E19" t="s">
        <v>498</v>
      </c>
      <c r="F19" s="35">
        <f t="shared" si="0"/>
        <v>4</v>
      </c>
      <c r="G19" s="35">
        <f>F19</f>
        <v>4</v>
      </c>
    </row>
    <row r="20" spans="1:7" ht="12.75">
      <c r="A20" s="30" t="s">
        <v>187</v>
      </c>
      <c r="B20" s="30" t="s">
        <v>121</v>
      </c>
      <c r="C20" s="30" t="s">
        <v>120</v>
      </c>
      <c r="D20" s="33">
        <f>250/1000</f>
        <v>0.25</v>
      </c>
      <c r="E20" t="s">
        <v>499</v>
      </c>
      <c r="F20" s="35">
        <f t="shared" si="0"/>
        <v>4</v>
      </c>
      <c r="G20" s="35">
        <f>F20+G19</f>
        <v>8</v>
      </c>
    </row>
    <row r="21" spans="1:7" ht="12.75">
      <c r="A21" s="30" t="s">
        <v>188</v>
      </c>
      <c r="B21" s="30" t="s">
        <v>121</v>
      </c>
      <c r="C21" s="30" t="s">
        <v>120</v>
      </c>
      <c r="D21" s="33">
        <f>250/1000</f>
        <v>0.25</v>
      </c>
      <c r="E21" t="s">
        <v>500</v>
      </c>
      <c r="F21" s="35">
        <f t="shared" si="0"/>
        <v>4</v>
      </c>
      <c r="G21" s="35">
        <f>F21+G20</f>
        <v>12</v>
      </c>
    </row>
    <row r="22" spans="1:7" ht="12.75">
      <c r="A22" s="30" t="s">
        <v>189</v>
      </c>
      <c r="B22" s="30" t="s">
        <v>121</v>
      </c>
      <c r="C22" s="30" t="s">
        <v>120</v>
      </c>
      <c r="D22" s="33">
        <f>250/1000</f>
        <v>0.25</v>
      </c>
      <c r="E22" t="s">
        <v>501</v>
      </c>
      <c r="F22" s="35">
        <f t="shared" si="0"/>
        <v>4</v>
      </c>
      <c r="G22" s="35">
        <f>F22+G21</f>
        <v>16</v>
      </c>
    </row>
    <row r="23" spans="1:8" ht="12.75">
      <c r="A23" s="30" t="s">
        <v>203</v>
      </c>
      <c r="B23" s="30" t="s">
        <v>127</v>
      </c>
      <c r="C23" s="30" t="s">
        <v>128</v>
      </c>
      <c r="D23" s="33">
        <f>100/1000</f>
        <v>0.1</v>
      </c>
      <c r="E23" t="s">
        <v>503</v>
      </c>
      <c r="F23" s="35">
        <f t="shared" si="0"/>
        <v>10</v>
      </c>
      <c r="G23" s="35">
        <f>F23</f>
        <v>10</v>
      </c>
      <c r="H23" s="30" t="s">
        <v>122</v>
      </c>
    </row>
    <row r="24" spans="1:7" ht="12.75">
      <c r="A24" s="30" t="s">
        <v>190</v>
      </c>
      <c r="B24" s="30" t="s">
        <v>127</v>
      </c>
      <c r="C24" s="30" t="s">
        <v>129</v>
      </c>
      <c r="D24" s="33">
        <f aca="true" t="shared" si="2" ref="D24:D30">200/1000</f>
        <v>0.2</v>
      </c>
      <c r="E24" t="s">
        <v>504</v>
      </c>
      <c r="F24" s="35">
        <f t="shared" si="0"/>
        <v>5</v>
      </c>
      <c r="G24" s="35">
        <f>F24+G23</f>
        <v>15</v>
      </c>
    </row>
    <row r="25" spans="1:7" ht="12.75">
      <c r="A25" s="30" t="s">
        <v>191</v>
      </c>
      <c r="B25" s="30" t="s">
        <v>127</v>
      </c>
      <c r="C25" s="30" t="s">
        <v>129</v>
      </c>
      <c r="D25" s="33">
        <f t="shared" si="2"/>
        <v>0.2</v>
      </c>
      <c r="E25" t="s">
        <v>505</v>
      </c>
      <c r="F25" s="35">
        <f t="shared" si="0"/>
        <v>5</v>
      </c>
      <c r="G25" s="35">
        <f>F25+G24</f>
        <v>20</v>
      </c>
    </row>
    <row r="26" spans="1:7" ht="12.75">
      <c r="A26" s="30" t="s">
        <v>192</v>
      </c>
      <c r="B26" s="30" t="s">
        <v>127</v>
      </c>
      <c r="C26" s="30" t="s">
        <v>129</v>
      </c>
      <c r="D26" s="33">
        <f t="shared" si="2"/>
        <v>0.2</v>
      </c>
      <c r="E26" t="s">
        <v>506</v>
      </c>
      <c r="F26" s="35">
        <f t="shared" si="0"/>
        <v>5</v>
      </c>
      <c r="G26" s="35">
        <f>F26+G25</f>
        <v>25</v>
      </c>
    </row>
    <row r="27" spans="1:8" ht="12.75">
      <c r="A27" s="30" t="s">
        <v>193</v>
      </c>
      <c r="B27" s="30" t="s">
        <v>130</v>
      </c>
      <c r="C27" s="30" t="s">
        <v>129</v>
      </c>
      <c r="D27" s="33">
        <f t="shared" si="2"/>
        <v>0.2</v>
      </c>
      <c r="E27" t="s">
        <v>507</v>
      </c>
      <c r="F27" s="35">
        <f t="shared" si="0"/>
        <v>5</v>
      </c>
      <c r="G27" s="35">
        <f>F27</f>
        <v>5</v>
      </c>
      <c r="H27" s="30" t="s">
        <v>131</v>
      </c>
    </row>
    <row r="28" spans="1:7" ht="12.75">
      <c r="A28" s="30" t="s">
        <v>194</v>
      </c>
      <c r="B28" s="30" t="s">
        <v>130</v>
      </c>
      <c r="C28" s="30" t="s">
        <v>129</v>
      </c>
      <c r="D28" s="33">
        <f t="shared" si="2"/>
        <v>0.2</v>
      </c>
      <c r="E28" t="s">
        <v>508</v>
      </c>
      <c r="F28" s="35">
        <f t="shared" si="0"/>
        <v>5</v>
      </c>
      <c r="G28" s="35">
        <f>F28+G27</f>
        <v>10</v>
      </c>
    </row>
    <row r="29" spans="1:7" ht="12.75">
      <c r="A29" s="30" t="s">
        <v>195</v>
      </c>
      <c r="B29" s="30" t="s">
        <v>130</v>
      </c>
      <c r="C29" s="30" t="s">
        <v>129</v>
      </c>
      <c r="D29" s="33">
        <f t="shared" si="2"/>
        <v>0.2</v>
      </c>
      <c r="E29" t="s">
        <v>509</v>
      </c>
      <c r="F29" s="35">
        <f t="shared" si="0"/>
        <v>5</v>
      </c>
      <c r="G29" s="35">
        <f>F29+G28</f>
        <v>15</v>
      </c>
    </row>
    <row r="30" spans="1:7" ht="12.75">
      <c r="A30" s="30" t="s">
        <v>196</v>
      </c>
      <c r="B30" s="30" t="s">
        <v>130</v>
      </c>
      <c r="C30" s="30" t="s">
        <v>129</v>
      </c>
      <c r="D30" s="33">
        <f t="shared" si="2"/>
        <v>0.2</v>
      </c>
      <c r="E30" t="s">
        <v>510</v>
      </c>
      <c r="F30" s="35">
        <f t="shared" si="0"/>
        <v>5</v>
      </c>
      <c r="G30" s="35">
        <f>F30+G29</f>
        <v>20</v>
      </c>
    </row>
    <row r="31" spans="1:8" ht="12.75">
      <c r="A31" s="30" t="s">
        <v>199</v>
      </c>
      <c r="C31" s="30" t="s">
        <v>128</v>
      </c>
      <c r="D31" s="33">
        <f>100/1000</f>
        <v>0.1</v>
      </c>
      <c r="E31" t="s">
        <v>511</v>
      </c>
      <c r="F31" s="35">
        <f t="shared" si="0"/>
        <v>10</v>
      </c>
      <c r="G31" s="35">
        <f>F31</f>
        <v>10</v>
      </c>
      <c r="H31" s="30" t="s">
        <v>134</v>
      </c>
    </row>
    <row r="32" spans="1:7" ht="12.75">
      <c r="A32" s="30" t="s">
        <v>200</v>
      </c>
      <c r="C32" s="30" t="s">
        <v>128</v>
      </c>
      <c r="D32" s="33">
        <f>100/1000</f>
        <v>0.1</v>
      </c>
      <c r="E32" t="s">
        <v>512</v>
      </c>
      <c r="F32" s="35">
        <f t="shared" si="0"/>
        <v>10</v>
      </c>
      <c r="G32" s="35">
        <f>F32+G31</f>
        <v>20</v>
      </c>
    </row>
    <row r="33" spans="1:7" ht="12.75">
      <c r="A33" s="30" t="s">
        <v>201</v>
      </c>
      <c r="C33" s="30" t="s">
        <v>128</v>
      </c>
      <c r="D33" s="33">
        <f>100/1000</f>
        <v>0.1</v>
      </c>
      <c r="E33" t="s">
        <v>513</v>
      </c>
      <c r="F33" s="35">
        <f t="shared" si="0"/>
        <v>10</v>
      </c>
      <c r="G33" s="35">
        <f>F33+G32</f>
        <v>30</v>
      </c>
    </row>
    <row r="34" spans="1:7" ht="12.75">
      <c r="A34" s="30" t="s">
        <v>202</v>
      </c>
      <c r="C34" s="30" t="s">
        <v>128</v>
      </c>
      <c r="D34" s="33">
        <f>100/1000</f>
        <v>0.1</v>
      </c>
      <c r="E34" t="s">
        <v>514</v>
      </c>
      <c r="F34" s="35">
        <f t="shared" si="0"/>
        <v>10</v>
      </c>
      <c r="G34" s="35">
        <f>F34+G33</f>
        <v>40</v>
      </c>
    </row>
    <row r="35" spans="1:7" ht="12.75">
      <c r="A35" s="30" t="s">
        <v>197</v>
      </c>
      <c r="C35" s="30" t="s">
        <v>132</v>
      </c>
      <c r="D35" s="33">
        <f>20/1000</f>
        <v>0.02</v>
      </c>
      <c r="E35" t="s">
        <v>515</v>
      </c>
      <c r="F35" s="35">
        <f t="shared" si="0"/>
        <v>50</v>
      </c>
      <c r="G35" s="35">
        <f>F35+G34</f>
        <v>90</v>
      </c>
    </row>
    <row r="36" spans="1:7" ht="12.75">
      <c r="A36" s="30" t="s">
        <v>198</v>
      </c>
      <c r="C36" s="30" t="s">
        <v>133</v>
      </c>
      <c r="D36" s="33">
        <f>10/1000</f>
        <v>0.01</v>
      </c>
      <c r="E36" t="s">
        <v>516</v>
      </c>
      <c r="F36" s="35">
        <f t="shared" si="0"/>
        <v>100</v>
      </c>
      <c r="G36" s="35">
        <f>F36+G35</f>
        <v>190</v>
      </c>
    </row>
    <row r="37" spans="4:5" ht="12.75">
      <c r="D37" s="33"/>
      <c r="E37" s="33"/>
    </row>
    <row r="42" ht="12.75">
      <c r="B42"/>
    </row>
    <row r="43" ht="12.75">
      <c r="B43"/>
    </row>
    <row r="44" ht="12.75">
      <c r="B44"/>
    </row>
    <row r="45" ht="12.75">
      <c r="B45"/>
    </row>
    <row r="46" ht="12.75">
      <c r="B46"/>
    </row>
    <row r="47" ht="12.75">
      <c r="B47"/>
    </row>
    <row r="48" ht="12.75">
      <c r="B48"/>
    </row>
    <row r="50" ht="12.75">
      <c r="B50"/>
    </row>
    <row r="51" ht="12.75">
      <c r="B51"/>
    </row>
  </sheetData>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B16"/>
  <sheetViews>
    <sheetView workbookViewId="0" topLeftCell="A1">
      <selection activeCell="B17" sqref="B17"/>
    </sheetView>
  </sheetViews>
  <sheetFormatPr defaultColWidth="9.140625" defaultRowHeight="12.75"/>
  <cols>
    <col min="1" max="1" width="9.140625" style="30" customWidth="1"/>
  </cols>
  <sheetData>
    <row r="1" ht="12.75">
      <c r="A1" s="31" t="s">
        <v>295</v>
      </c>
    </row>
    <row r="3" ht="12.75">
      <c r="A3" s="30" t="s">
        <v>746</v>
      </c>
    </row>
    <row r="4" ht="12.75">
      <c r="B4" t="s">
        <v>521</v>
      </c>
    </row>
    <row r="6" ht="12.75">
      <c r="A6" s="30" t="s">
        <v>293</v>
      </c>
    </row>
    <row r="7" ht="12.75">
      <c r="B7" t="s">
        <v>294</v>
      </c>
    </row>
    <row r="8" ht="12.75">
      <c r="B8" t="s">
        <v>519</v>
      </c>
    </row>
    <row r="10" ht="12.75">
      <c r="A10" s="30" t="s">
        <v>747</v>
      </c>
    </row>
    <row r="12" ht="12.75">
      <c r="A12" s="30" t="s">
        <v>520</v>
      </c>
    </row>
    <row r="14" ht="12.75">
      <c r="A14" s="30" t="s">
        <v>347</v>
      </c>
    </row>
    <row r="15" ht="12.75">
      <c r="B15" t="s">
        <v>348</v>
      </c>
    </row>
    <row r="16" ht="12.75">
      <c r="B16" t="s">
        <v>349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2003-04-05T14:17:26Z</cp:lastPrinted>
  <dcterms:created xsi:type="dcterms:W3CDTF">2003-04-04T22:42:59Z</dcterms:created>
  <dcterms:modified xsi:type="dcterms:W3CDTF">2003-06-25T11:05:16Z</dcterms:modified>
  <cp:category/>
  <cp:version/>
  <cp:contentType/>
  <cp:contentStatus/>
</cp:coreProperties>
</file>